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25" activeTab="2"/>
  </bookViews>
  <sheets>
    <sheet name="Лист1" sheetId="9" r:id="rId1"/>
    <sheet name="Медицинское оборудование" sheetId="1" r:id="rId2"/>
    <sheet name="Реаб оборудование+оргтехника " sheetId="8" r:id="rId3"/>
    <sheet name="Обучение специалистов" sheetId="3" r:id="rId4"/>
    <sheet name="Информатизация" sheetId="4" r:id="rId5"/>
    <sheet name="Таблица деньги все" sheetId="6" r:id="rId6"/>
  </sheets>
  <definedNames>
    <definedName name="_xlnm._FilterDatabase" localSheetId="2" hidden="1">'Реаб оборудование+оргтехника '!$A$3:$AI$121</definedName>
    <definedName name="_xlnm.Print_Area" localSheetId="4">Информатизация!$A$1:$L$46</definedName>
    <definedName name="_xlnm.Print_Area" localSheetId="1">'Медицинское оборудование'!$A$1:$T$7</definedName>
    <definedName name="_xlnm.Print_Area" localSheetId="3">'Обучение специалистов'!$A$1:$M$13</definedName>
    <definedName name="_xlnm.Print_Area" localSheetId="5">'Таблица деньги все'!$A$1:$AC$5</definedName>
  </definedNames>
  <calcPr calcId="145621"/>
</workbook>
</file>

<file path=xl/calcChain.xml><?xml version="1.0" encoding="utf-8"?>
<calcChain xmlns="http://schemas.openxmlformats.org/spreadsheetml/2006/main">
  <c r="C5" i="6" l="1"/>
  <c r="D5" i="6"/>
  <c r="B5" i="6"/>
  <c r="E132" i="8"/>
  <c r="E133" i="8"/>
  <c r="G132" i="8"/>
  <c r="G133" i="8"/>
  <c r="E130" i="8"/>
  <c r="E131" i="8"/>
  <c r="G130" i="8"/>
  <c r="G131" i="8"/>
  <c r="G126" i="8"/>
  <c r="G127" i="8"/>
  <c r="D127" i="8" s="1"/>
  <c r="G128" i="8"/>
  <c r="G129" i="8"/>
  <c r="D129" i="8" s="1"/>
  <c r="E126" i="8"/>
  <c r="E127" i="8"/>
  <c r="E128" i="8"/>
  <c r="E129" i="8"/>
  <c r="E125" i="8"/>
  <c r="G125" i="8"/>
  <c r="B125" i="8" s="1"/>
  <c r="B124" i="8"/>
  <c r="E124" i="8"/>
  <c r="D124" i="8"/>
  <c r="G124" i="8"/>
  <c r="E27" i="8"/>
  <c r="E26" i="8"/>
  <c r="G24" i="8"/>
  <c r="E24" i="8"/>
  <c r="G23" i="8"/>
  <c r="E23" i="8"/>
  <c r="D126" i="8"/>
  <c r="D128" i="8"/>
  <c r="D130" i="8"/>
  <c r="D131" i="8"/>
  <c r="D132" i="8"/>
  <c r="D133" i="8"/>
  <c r="D125" i="8" l="1"/>
  <c r="J111" i="8" l="1"/>
  <c r="E112" i="8" l="1"/>
  <c r="B2" i="9" l="1"/>
  <c r="K137" i="8" l="1"/>
  <c r="L137" i="8"/>
  <c r="M137" i="8"/>
  <c r="N137" i="8"/>
  <c r="O137" i="8"/>
  <c r="T5" i="6"/>
  <c r="E7" i="4"/>
  <c r="E9" i="4"/>
  <c r="I10" i="4"/>
  <c r="J10" i="4"/>
  <c r="K10" i="4"/>
  <c r="L9" i="4"/>
  <c r="G9" i="4"/>
  <c r="D9" i="4" s="1"/>
  <c r="B9" i="4"/>
  <c r="L8" i="4"/>
  <c r="E8" i="4" s="1"/>
  <c r="G8" i="4"/>
  <c r="D8" i="4" s="1"/>
  <c r="B8" i="4"/>
  <c r="L7" i="4"/>
  <c r="G7" i="4"/>
  <c r="D7" i="4" s="1"/>
  <c r="D10" i="4" s="1"/>
  <c r="B7" i="4"/>
  <c r="L6" i="4"/>
  <c r="E6" i="4" s="1"/>
  <c r="E10" i="4" s="1"/>
  <c r="Z5" i="6" s="1"/>
  <c r="G6" i="4"/>
  <c r="D6" i="4" s="1"/>
  <c r="B6" i="4"/>
  <c r="B10" i="4" s="1"/>
  <c r="E121" i="8"/>
  <c r="G121" i="8"/>
  <c r="D121" i="8" s="1"/>
  <c r="B119" i="8"/>
  <c r="E118" i="8"/>
  <c r="G118" i="8"/>
  <c r="D118" i="8" s="1"/>
  <c r="E117" i="8"/>
  <c r="G117" i="8"/>
  <c r="D117" i="8" s="1"/>
  <c r="E116" i="8"/>
  <c r="G116" i="8"/>
  <c r="D116" i="8" s="1"/>
  <c r="B118" i="8" l="1"/>
  <c r="Y5" i="6"/>
  <c r="B121" i="8"/>
  <c r="L10" i="4"/>
  <c r="G10" i="4"/>
  <c r="AB5" i="6" s="1"/>
  <c r="B116" i="8"/>
  <c r="B117" i="8"/>
  <c r="E6" i="3"/>
  <c r="B6" i="3" s="1"/>
  <c r="G6" i="3"/>
  <c r="D6" i="3" s="1"/>
  <c r="G115" i="8"/>
  <c r="E115" i="8"/>
  <c r="G114" i="8"/>
  <c r="D114" i="8" s="1"/>
  <c r="E114" i="8"/>
  <c r="G113" i="8"/>
  <c r="E113" i="8"/>
  <c r="D113" i="8"/>
  <c r="G112" i="8"/>
  <c r="B114" i="8" l="1"/>
  <c r="B115" i="8"/>
  <c r="B113" i="8"/>
  <c r="D112" i="8"/>
  <c r="B112" i="8"/>
  <c r="D115" i="8"/>
  <c r="E21" i="8"/>
  <c r="E20" i="8"/>
  <c r="G27" i="8"/>
  <c r="D27" i="8" s="1"/>
  <c r="G26" i="8"/>
  <c r="D26" i="8" s="1"/>
  <c r="G21" i="8"/>
  <c r="D21" i="8" s="1"/>
  <c r="G20" i="8"/>
  <c r="D20" i="8" s="1"/>
  <c r="E17" i="8"/>
  <c r="E18" i="8"/>
  <c r="G16" i="8"/>
  <c r="D16" i="8" s="1"/>
  <c r="E16" i="8"/>
  <c r="D24" i="8"/>
  <c r="D23" i="8"/>
  <c r="E15" i="8"/>
  <c r="G18" i="8"/>
  <c r="D18" i="8" s="1"/>
  <c r="B16" i="8" l="1"/>
  <c r="G17" i="8"/>
  <c r="E13" i="8"/>
  <c r="E14" i="8"/>
  <c r="G13" i="8"/>
  <c r="D13" i="8" s="1"/>
  <c r="G14" i="8"/>
  <c r="D14" i="8" s="1"/>
  <c r="G15" i="8"/>
  <c r="D15" i="8" s="1"/>
  <c r="E10" i="8"/>
  <c r="E11" i="8"/>
  <c r="E12" i="8"/>
  <c r="G10" i="8"/>
  <c r="D10" i="8" s="1"/>
  <c r="G11" i="8"/>
  <c r="D11" i="8" s="1"/>
  <c r="G12" i="8"/>
  <c r="D12" i="8" s="1"/>
  <c r="E8" i="8"/>
  <c r="E9" i="8"/>
  <c r="G8" i="8"/>
  <c r="D8" i="8" s="1"/>
  <c r="G9" i="8"/>
  <c r="D9" i="8" s="1"/>
  <c r="G7" i="8"/>
  <c r="B18" i="8"/>
  <c r="E19" i="8"/>
  <c r="G19" i="8"/>
  <c r="D19" i="8" s="1"/>
  <c r="G22" i="8"/>
  <c r="D22" i="8" s="1"/>
  <c r="E22" i="8"/>
  <c r="B27" i="8"/>
  <c r="B26" i="8"/>
  <c r="G25" i="8"/>
  <c r="D25" i="8" s="1"/>
  <c r="E25" i="8"/>
  <c r="G30" i="8"/>
  <c r="D30" i="8" s="1"/>
  <c r="E30" i="8"/>
  <c r="G29" i="8"/>
  <c r="D29" i="8" s="1"/>
  <c r="E29" i="8"/>
  <c r="G28" i="8"/>
  <c r="D28" i="8" s="1"/>
  <c r="E28" i="8"/>
  <c r="E32" i="8"/>
  <c r="E33" i="8"/>
  <c r="E31" i="8"/>
  <c r="G32" i="8"/>
  <c r="D32" i="8" s="1"/>
  <c r="G33" i="8"/>
  <c r="D33" i="8" s="1"/>
  <c r="G31" i="8"/>
  <c r="D31" i="8" s="1"/>
  <c r="G36" i="8"/>
  <c r="D36" i="8" s="1"/>
  <c r="E36" i="8"/>
  <c r="G35" i="8"/>
  <c r="D35" i="8" s="1"/>
  <c r="E35" i="8"/>
  <c r="G34" i="8"/>
  <c r="D34" i="8" s="1"/>
  <c r="E34" i="8"/>
  <c r="G39" i="8"/>
  <c r="D39" i="8" s="1"/>
  <c r="E39" i="8"/>
  <c r="G38" i="8"/>
  <c r="D38" i="8" s="1"/>
  <c r="E38" i="8"/>
  <c r="G37" i="8"/>
  <c r="D37" i="8" s="1"/>
  <c r="E37" i="8"/>
  <c r="G42" i="8"/>
  <c r="D42" i="8" s="1"/>
  <c r="E42" i="8"/>
  <c r="G41" i="8"/>
  <c r="D41" i="8" s="1"/>
  <c r="E41" i="8"/>
  <c r="G40" i="8"/>
  <c r="D40" i="8" s="1"/>
  <c r="E40" i="8"/>
  <c r="G45" i="8"/>
  <c r="D45" i="8" s="1"/>
  <c r="E45" i="8"/>
  <c r="G44" i="8"/>
  <c r="D44" i="8" s="1"/>
  <c r="E44" i="8"/>
  <c r="G43" i="8"/>
  <c r="D43" i="8" s="1"/>
  <c r="E43" i="8"/>
  <c r="E47" i="8"/>
  <c r="E48" i="8"/>
  <c r="E46" i="8"/>
  <c r="G47" i="8"/>
  <c r="D47" i="8" s="1"/>
  <c r="G48" i="8"/>
  <c r="D48" i="8" s="1"/>
  <c r="G46" i="8"/>
  <c r="D46" i="8" s="1"/>
  <c r="G51" i="8"/>
  <c r="D51" i="8" s="1"/>
  <c r="E51" i="8"/>
  <c r="G50" i="8"/>
  <c r="D50" i="8" s="1"/>
  <c r="E50" i="8"/>
  <c r="G49" i="8"/>
  <c r="D49" i="8" s="1"/>
  <c r="E49" i="8"/>
  <c r="G54" i="8"/>
  <c r="D54" i="8" s="1"/>
  <c r="E54" i="8"/>
  <c r="G53" i="8"/>
  <c r="D53" i="8" s="1"/>
  <c r="E53" i="8"/>
  <c r="G52" i="8"/>
  <c r="D52" i="8" s="1"/>
  <c r="E52" i="8"/>
  <c r="E62" i="8"/>
  <c r="E63" i="8"/>
  <c r="E61" i="8"/>
  <c r="G62" i="8"/>
  <c r="D62" i="8" s="1"/>
  <c r="G63" i="8"/>
  <c r="D63" i="8" s="1"/>
  <c r="G61" i="8"/>
  <c r="D61" i="8" s="1"/>
  <c r="G59" i="8"/>
  <c r="D59" i="8" s="1"/>
  <c r="G60" i="8"/>
  <c r="D60" i="8" s="1"/>
  <c r="E59" i="8"/>
  <c r="E60" i="8"/>
  <c r="E58" i="8"/>
  <c r="G58" i="8"/>
  <c r="G56" i="8"/>
  <c r="G57" i="8"/>
  <c r="D57" i="8" s="1"/>
  <c r="E56" i="8"/>
  <c r="E57" i="8"/>
  <c r="E55" i="8"/>
  <c r="G55" i="8"/>
  <c r="D55" i="8" s="1"/>
  <c r="E65" i="8"/>
  <c r="E66" i="8"/>
  <c r="E64" i="8"/>
  <c r="G65" i="8"/>
  <c r="D65" i="8" s="1"/>
  <c r="G66" i="8"/>
  <c r="D66" i="8" s="1"/>
  <c r="G64" i="8"/>
  <c r="G69" i="8"/>
  <c r="D69" i="8" s="1"/>
  <c r="E69" i="8"/>
  <c r="G68" i="8"/>
  <c r="D68" i="8" s="1"/>
  <c r="E68" i="8"/>
  <c r="G67" i="8"/>
  <c r="D67" i="8" s="1"/>
  <c r="E67" i="8"/>
  <c r="E74" i="8"/>
  <c r="E75" i="8"/>
  <c r="E73" i="8"/>
  <c r="E71" i="8"/>
  <c r="E72" i="8"/>
  <c r="E70" i="8"/>
  <c r="G74" i="8"/>
  <c r="D74" i="8" s="1"/>
  <c r="G75" i="8"/>
  <c r="D75" i="8" s="1"/>
  <c r="G73" i="8"/>
  <c r="D73" i="8" s="1"/>
  <c r="G71" i="8"/>
  <c r="D71" i="8" s="1"/>
  <c r="G72" i="8"/>
  <c r="D72" i="8" s="1"/>
  <c r="G70" i="8"/>
  <c r="D70" i="8" s="1"/>
  <c r="G78" i="8"/>
  <c r="D78" i="8" s="1"/>
  <c r="E78" i="8"/>
  <c r="G77" i="8"/>
  <c r="D77" i="8" s="1"/>
  <c r="E77" i="8"/>
  <c r="G76" i="8"/>
  <c r="D76" i="8" s="1"/>
  <c r="E76" i="8"/>
  <c r="G81" i="8"/>
  <c r="D81" i="8" s="1"/>
  <c r="E81" i="8"/>
  <c r="G80" i="8"/>
  <c r="D80" i="8" s="1"/>
  <c r="E80" i="8"/>
  <c r="G79" i="8"/>
  <c r="D79" i="8" s="1"/>
  <c r="E79" i="8"/>
  <c r="G84" i="8"/>
  <c r="D84" i="8" s="1"/>
  <c r="E84" i="8"/>
  <c r="G83" i="8"/>
  <c r="D83" i="8" s="1"/>
  <c r="E83" i="8"/>
  <c r="G82" i="8"/>
  <c r="D82" i="8" s="1"/>
  <c r="E82" i="8"/>
  <c r="E86" i="8"/>
  <c r="E87" i="8"/>
  <c r="E85" i="8"/>
  <c r="G86" i="8"/>
  <c r="D86" i="8" s="1"/>
  <c r="G87" i="8"/>
  <c r="D87" i="8" s="1"/>
  <c r="G85" i="8"/>
  <c r="D85" i="8" s="1"/>
  <c r="G90" i="8"/>
  <c r="D90" i="8" s="1"/>
  <c r="E90" i="8"/>
  <c r="G89" i="8"/>
  <c r="D89" i="8" s="1"/>
  <c r="E89" i="8"/>
  <c r="G88" i="8"/>
  <c r="D88" i="8" s="1"/>
  <c r="E88" i="8"/>
  <c r="G93" i="8"/>
  <c r="D93" i="8" s="1"/>
  <c r="E93" i="8"/>
  <c r="G92" i="8"/>
  <c r="D92" i="8" s="1"/>
  <c r="E92" i="8"/>
  <c r="G91" i="8"/>
  <c r="D91" i="8" s="1"/>
  <c r="E91" i="8"/>
  <c r="G96" i="8"/>
  <c r="D96" i="8" s="1"/>
  <c r="E96" i="8"/>
  <c r="G95" i="8"/>
  <c r="D95" i="8" s="1"/>
  <c r="E95" i="8"/>
  <c r="G94" i="8"/>
  <c r="D94" i="8" s="1"/>
  <c r="E94" i="8"/>
  <c r="G99" i="8"/>
  <c r="D99" i="8" s="1"/>
  <c r="E99" i="8"/>
  <c r="G98" i="8"/>
  <c r="D98" i="8" s="1"/>
  <c r="E98" i="8"/>
  <c r="G97" i="8"/>
  <c r="D97" i="8" s="1"/>
  <c r="E97" i="8"/>
  <c r="G102" i="8"/>
  <c r="D102" i="8" s="1"/>
  <c r="E102" i="8"/>
  <c r="G101" i="8"/>
  <c r="D101" i="8" s="1"/>
  <c r="E101" i="8"/>
  <c r="G100" i="8"/>
  <c r="D100" i="8" s="1"/>
  <c r="E100" i="8"/>
  <c r="G105" i="8"/>
  <c r="D105" i="8" s="1"/>
  <c r="E105" i="8"/>
  <c r="G104" i="8"/>
  <c r="D104" i="8" s="1"/>
  <c r="E104" i="8"/>
  <c r="G103" i="8"/>
  <c r="D103" i="8" s="1"/>
  <c r="E103" i="8"/>
  <c r="G106" i="8"/>
  <c r="D106" i="8" s="1"/>
  <c r="E106" i="8"/>
  <c r="G107" i="8"/>
  <c r="D107" i="8" s="1"/>
  <c r="E107" i="8"/>
  <c r="E108" i="8"/>
  <c r="G108" i="8"/>
  <c r="D108" i="8" s="1"/>
  <c r="B59" i="8" l="1"/>
  <c r="B103" i="8"/>
  <c r="B97" i="8"/>
  <c r="B91" i="8"/>
  <c r="B89" i="8"/>
  <c r="B93" i="8"/>
  <c r="B107" i="8"/>
  <c r="B105" i="8"/>
  <c r="B99" i="8"/>
  <c r="B50" i="8"/>
  <c r="B42" i="8"/>
  <c r="B12" i="8"/>
  <c r="B70" i="8"/>
  <c r="B58" i="8"/>
  <c r="D58" i="8"/>
  <c r="B17" i="8"/>
  <c r="D17" i="8"/>
  <c r="B64" i="8"/>
  <c r="D64" i="8"/>
  <c r="D7" i="8"/>
  <c r="B74" i="8"/>
  <c r="B56" i="8"/>
  <c r="D56" i="8"/>
  <c r="B90" i="8"/>
  <c r="B82" i="8"/>
  <c r="B76" i="8"/>
  <c r="B78" i="8"/>
  <c r="B45" i="8"/>
  <c r="B39" i="8"/>
  <c r="B83" i="8"/>
  <c r="B77" i="8"/>
  <c r="B29" i="8"/>
  <c r="B22" i="8"/>
  <c r="B81" i="8"/>
  <c r="B71" i="8"/>
  <c r="B28" i="8"/>
  <c r="B30" i="8"/>
  <c r="B108" i="8"/>
  <c r="B92" i="8"/>
  <c r="B98" i="8"/>
  <c r="B46" i="8"/>
  <c r="B44" i="8"/>
  <c r="B41" i="8"/>
  <c r="B35" i="8"/>
  <c r="B106" i="8"/>
  <c r="B51" i="8"/>
  <c r="B19" i="8"/>
  <c r="B95" i="8"/>
  <c r="B40" i="8"/>
  <c r="B38" i="8"/>
  <c r="B31" i="8"/>
  <c r="B10" i="8"/>
  <c r="B9" i="8"/>
  <c r="B79" i="8"/>
  <c r="B67" i="8"/>
  <c r="B69" i="8"/>
  <c r="B53" i="8"/>
  <c r="B49" i="8"/>
  <c r="B34" i="8"/>
  <c r="B36" i="8"/>
  <c r="B25" i="8"/>
  <c r="B24" i="8"/>
  <c r="B21" i="8"/>
  <c r="B14" i="8"/>
  <c r="B8" i="8"/>
  <c r="B104" i="8"/>
  <c r="B100" i="8"/>
  <c r="B86" i="8"/>
  <c r="B73" i="8"/>
  <c r="B13" i="8"/>
  <c r="B84" i="8"/>
  <c r="B52" i="8"/>
  <c r="B54" i="8"/>
  <c r="B11" i="8"/>
  <c r="B15" i="8"/>
  <c r="B20" i="8"/>
  <c r="B23" i="8"/>
  <c r="B32" i="8"/>
  <c r="B33" i="8"/>
  <c r="B37" i="8"/>
  <c r="B43" i="8"/>
  <c r="B48" i="8"/>
  <c r="B47" i="8"/>
  <c r="B60" i="8"/>
  <c r="B57" i="8"/>
  <c r="B55" i="8"/>
  <c r="B62" i="8"/>
  <c r="B61" i="8"/>
  <c r="B63" i="8"/>
  <c r="B65" i="8"/>
  <c r="B66" i="8"/>
  <c r="B68" i="8"/>
  <c r="B75" i="8"/>
  <c r="B72" i="8"/>
  <c r="B80" i="8"/>
  <c r="B87" i="8"/>
  <c r="B85" i="8"/>
  <c r="B88" i="8"/>
  <c r="B102" i="8"/>
  <c r="B101" i="8"/>
  <c r="B94" i="8"/>
  <c r="B96" i="8"/>
  <c r="E109" i="8"/>
  <c r="G109" i="8"/>
  <c r="D109" i="8" s="1"/>
  <c r="G110" i="8"/>
  <c r="D110" i="8" s="1"/>
  <c r="E110" i="8"/>
  <c r="B110" i="8" l="1"/>
  <c r="B109" i="8"/>
  <c r="G123" i="8"/>
  <c r="D123" i="8" s="1"/>
  <c r="E123" i="8"/>
  <c r="G122" i="8"/>
  <c r="D122" i="8" s="1"/>
  <c r="E122" i="8"/>
  <c r="B122" i="8" l="1"/>
  <c r="G137" i="8"/>
  <c r="M5" i="6" s="1"/>
  <c r="B123" i="8"/>
  <c r="I111" i="8"/>
  <c r="H111" i="8" s="1"/>
  <c r="B111" i="8" s="1"/>
  <c r="X5" i="6" l="1"/>
  <c r="V5" i="6"/>
  <c r="AC5" i="6"/>
  <c r="AA5" i="6"/>
  <c r="E5" i="6"/>
  <c r="H137" i="8" l="1"/>
  <c r="P5" i="6" s="1"/>
  <c r="D111" i="8"/>
  <c r="D137" i="8" s="1"/>
  <c r="J137" i="8"/>
  <c r="R5" i="6" l="1"/>
  <c r="O5" i="6" s="1"/>
  <c r="Q5" i="6" s="1"/>
  <c r="S5" i="6" l="1"/>
  <c r="E7" i="8" l="1"/>
  <c r="B7" i="8" s="1"/>
  <c r="B137" i="8" s="1"/>
  <c r="E137" i="8" l="1"/>
  <c r="C137" i="8" l="1"/>
  <c r="A137" i="8" s="1"/>
  <c r="K5" i="6"/>
  <c r="J5" i="6" l="1"/>
  <c r="L5" i="6" s="1"/>
  <c r="N5" i="6" l="1"/>
</calcChain>
</file>

<file path=xl/sharedStrings.xml><?xml version="1.0" encoding="utf-8"?>
<sst xmlns="http://schemas.openxmlformats.org/spreadsheetml/2006/main" count="697" uniqueCount="190">
  <si>
    <t>Название субъекта Российской Федерации</t>
  </si>
  <si>
    <t>Имеющееся в организации медицинское оборудование</t>
  </si>
  <si>
    <t xml:space="preserve">наличие в организации специалистов соответсвующей квалификации для работы на медицинском оборудовании, планируемом к приобретению </t>
  </si>
  <si>
    <t>количество, шт.</t>
  </si>
  <si>
    <t xml:space="preserve">название медицинского оборудования </t>
  </si>
  <si>
    <t xml:space="preserve">наличие мероприятий по повышению квалификации (обучению, переобучению) специалистов организации для работы на медицинском оборудовании, планируемом к приобретению </t>
  </si>
  <si>
    <t xml:space="preserve">название нарушенных функций организма, на восстановление (компенсацию) которых направлены реабилитационные мероприятия с использованием медицинского оборудования </t>
  </si>
  <si>
    <t xml:space="preserve">*Указываются направления реабилитации и абилитации инвалидов в соответствии со статьей 9 Федерального закона от 24.11.1995 № 181-ФЗ "О социальной защите инвалидов в Российской Федерации". </t>
  </si>
  <si>
    <t>Информация об организациях региона, подлежащих включению в систему комплексной реабилитации инвалидов, которые планируется оснащать медицинским оборудованием,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</si>
  <si>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Общая информация об организации, которую планируется оснащать медицинским оборудованием</t>
  </si>
  <si>
    <t>полное название организации</t>
  </si>
  <si>
    <t>направление реабилитации и абилитации инвалидов*, реализуемое в организации</t>
  </si>
  <si>
    <t>источники финансирования организации на осуществление медицинской реабилитации</t>
  </si>
  <si>
    <t>условия, в которых планируется осуществление медицинской реабилитации с использованием медицинского оборудования (амбулаторно/в дневном стационаре/ стационарно)</t>
  </si>
  <si>
    <t>средняя стоимость единицы планируемого к приобретению медицинского оборудования, тыс. руб.</t>
  </si>
  <si>
    <r>
      <t>наличие у организации лицензии на осуществление соответствующей медицинской деятельности с использованием медицинского оборудования, пданируемого к приобретению (да/нет),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вид деятельности (при наличии лицензии)</t>
    </r>
  </si>
  <si>
    <t>количество часов обучения</t>
  </si>
  <si>
    <t>сфера деятельности специалистов, которых планируется обучать**</t>
  </si>
  <si>
    <t>** Специалисты в разных сферах деятельности учитываются отдельно.</t>
  </si>
  <si>
    <t>название мероприятия (создание/ эксплуатация/ развитие (доработка))*</t>
  </si>
  <si>
    <t>сфера использования (применения) информационной системы субъекта Российской Федерации</t>
  </si>
  <si>
    <t>название информационной системы субъекта Российской Федерации</t>
  </si>
  <si>
    <t>средняя стоимость единицы планируемого к приобретению оборудования, тыс. руб.</t>
  </si>
  <si>
    <t>имеется в организации (название, количество)</t>
  </si>
  <si>
    <t>имеется в организации (название оборудования, количество)</t>
  </si>
  <si>
    <t>план по приобретению (название оборудования*, количество)</t>
  </si>
  <si>
    <t>Оборудование для предоставления услуг по социальной и профессиональной реабилитации и абилитации инвалидов и детей-инвалидов</t>
  </si>
  <si>
    <t>социально-бытовая реабилитация и абилитация</t>
  </si>
  <si>
    <t>социально-средовая реабилитации и абилитация</t>
  </si>
  <si>
    <t>социально-педагогическая реабилитация и абилитация</t>
  </si>
  <si>
    <t>социокультурная реабилитация и абилитация</t>
  </si>
  <si>
    <t>мероприятия по адаптивной физической культуре и спорту для инвалидов</t>
  </si>
  <si>
    <t>профессиональная реабилитация и абилитация</t>
  </si>
  <si>
    <t>Информация об организациях региона, подлежащих включению в систему комплексной реабилитации инвалидов, которые планируется оснащать оборудованием, необходимым для предоставления услуг по социальной и профессиональной реабилитации и абилитации инвалидов и детей-инвалидов, компьютерной техникой, оргтехникой и программным обеспечением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</si>
  <si>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средняя стоимость единицы планируемой к приобретению техники, оргтехники, программного обеспечения, тыс. руб.</t>
  </si>
  <si>
    <t>Информация о планируемых мероприятиях по обучению специалистов, обеспечивающих оказание реабилитационных или абилитационных мероприятий (услуг) инвалидам в различных сферах деятельности, услуг ранней помощи, сопровождаемого проживания,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</si>
  <si>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название мероприятия по обучению специалистов*</t>
  </si>
  <si>
    <t>объем средств бюджета субъекта Российской Федерации, тыс. руб.</t>
  </si>
  <si>
    <t>объем средств субсидии из федерального бюджета, тыс. руб.</t>
  </si>
  <si>
    <t>общий объем средств,        тыс. руб.</t>
  </si>
  <si>
    <t>доля средств бюджета субъекта Российской Федерации от общего объема средств, %</t>
  </si>
  <si>
    <t xml:space="preserve">Общий объем средств субсидии из федерального бюджета, запланированных на приобретение компьютерной техники, оргтехники и программного обеспечения, тыс. руб. </t>
  </si>
  <si>
    <t>Полное название реабилитационной организации, которую планируется оснащать за счет средств субсидии из федерального бюджета</t>
  </si>
  <si>
    <t>Приобретение компьютерной техники, оргтехники и программного обеспечения за счет средств субсидии из федерального бюджета</t>
  </si>
  <si>
    <t>название планируемого к приобретению медицинского оборудования за счет средств субсидии из федерального бюджета в соответствии с приказом Минздрава России от 29.12.2012                 № 1705н с указанием номера приложения**</t>
  </si>
  <si>
    <t>число специалистов, которых планируется обучать, чел.**</t>
  </si>
  <si>
    <t>социально-психологическая реабилитация и абилитаиция</t>
  </si>
  <si>
    <t>стоимость мероприятия по обучению специалистов, тыс. руб.</t>
  </si>
  <si>
    <t>Информация о мероприятиях по обучению специалистов за счет средств субсидии из федерального бюджета</t>
  </si>
  <si>
    <t>название программы  обучения специалистов</t>
  </si>
  <si>
    <t>Информация о планируемых мероприятиях по созданию, эксплуатации и развитию (доработке) единой информационной системы субъекта Российской Федерации, содержащей сведения об инвалидах, оказанных им реабилитационных и абилитационных мероприятиях, реестра реабилитационных организаций субъекта Российской Федерации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</si>
  <si>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** Указывается соответствующий пункт (пункты) перечня мероприятий согласно проекту региональной программы.</t>
  </si>
  <si>
    <t>** Каждая позиция планируемого к приобретению медицинского оборудования указывается отдельно, а также указывается соответствующий пункт (пункты) перечня мероприятий согласно проекту региональной программы.</t>
  </si>
  <si>
    <t>план по приобретению (название, количество)**</t>
  </si>
  <si>
    <t>* Название оборудования указывается в соответствии с приказом Минтруда России от 23 апреля 2018 г. № 275 «Об утверждении примерных положений о многопрофильных реабилитационных центрах для инвалидов и детей-инвалидов, а также примерных перечней оборудования, необходимого для предоставления услуг по социальной и профессиональной реабилитации и абилитации инвалидов и детей-инвалидов», а также указывается соответствующий пункт (пункты) перечня мероприятий согласно проекту региональной программы.</t>
  </si>
  <si>
    <t>* Каждое мероприятие указывается отдельно, а также указывается соответствующий пункт (пункты) перечня мероприятий согласно проекту региональной программы.</t>
  </si>
  <si>
    <t>Информация о мероприятиях по созданию, эксплуатации, развитию (доработке) информационной системы субъекта за счет средств субсидии из федерального бюджета</t>
  </si>
  <si>
    <t xml:space="preserve">средства субсидии,  из федерального бюджета, запланированные на мероприятие </t>
  </si>
  <si>
    <t>общий объем средств, запланированный на проведение соответствующего мероприятия</t>
  </si>
  <si>
    <t>финансосове обеспечение мероприятия, тыс. руб.</t>
  </si>
  <si>
    <t>Медицинское оборудование, которое планируется приобрести в организацию за счет средств субсидии из федерального бюджета</t>
  </si>
  <si>
    <t>* Мероприятия по обучению специалистов указывается отдельно по каждому виду дополнительного профессионального образования (повышение квалификации, профессиональная переподготовка), а также указывается соответствующий пункт (пункты) перечня мероприятий согласно проекту региональной программы.</t>
  </si>
  <si>
    <t>общий объем средств,         тыс. руб.</t>
  </si>
  <si>
    <t>доля средств бюджета субъекта Российской Федерации, запланированных на мероприятие от общего объема средств субъекта Российской Федерации, %</t>
  </si>
  <si>
    <t>Общая информация о финансовом обеспечении мероприятий, софинансируемых за счет средств субсидии из федерального бюджета,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</si>
  <si>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объем средств субсидии из федерального бюджета, запланированных на мероприятие,       тыс. руб.</t>
  </si>
  <si>
    <t>доля средств субсидии из федерального бюджета, запланированных на мероприятие, от общего объема необходимой субсидии из федерального бюджета, %</t>
  </si>
  <si>
    <t>Новгородская область</t>
  </si>
  <si>
    <t>культура</t>
  </si>
  <si>
    <t>спорт</t>
  </si>
  <si>
    <t>социальная  защита</t>
  </si>
  <si>
    <t>здравоохранение</t>
  </si>
  <si>
    <t>образование</t>
  </si>
  <si>
    <t>труд и занятость</t>
  </si>
  <si>
    <t>Объем средств, запланированных на приобретение медицинского оборудования, в 2021 году</t>
  </si>
  <si>
    <t>Объем средств, запланированных на приобретение реабилитационного оборудования, в 2021 году</t>
  </si>
  <si>
    <t>Объем средств, запланированных на приобретение компьютерной техники, оргтехники и программного обеспечения, в 2021 году</t>
  </si>
  <si>
    <t>Объем средств, запланированных на создание, эксплуатацию, развитие (доработку) информационной системы субъекта Российской Федерации, в 2021 году</t>
  </si>
  <si>
    <t>Объем необходимой в 2021 году субсидии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</si>
  <si>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>Предельный уровень софинансирования  расходного обязательства субъекта Российской Федерации из федерального бюджета на 2021 год, %</t>
  </si>
  <si>
    <t>Объем средств субъекта Российской Федерации на реализацию мероприятий, включенных в проект региональной программы с учетом предельного уровня софинансирования  расходного обязательства субъекта Российской Федерации из федерального бюджета
на 2021 год, тыс. руб.</t>
  </si>
  <si>
    <t xml:space="preserve">Общий объем средств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 в 2021 году, тыс. руб. </t>
  </si>
  <si>
    <t>Доля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Федерации, от общего объема необходимой в 2021 году субсидии из федерального бюджета, %</t>
  </si>
  <si>
    <t>Общий объем средств субъекта Российской Федерации, запланированных на создание, эксплуатацию, развитие (доработку) информационной системы субъекта Российской Федерации в 2021 году, тыс. руб.</t>
  </si>
  <si>
    <t xml:space="preserve">Общий объем средств субсидии из федерального бюджета, запланированных на проведение мероприятий по обучению специалистов в 2021 году, тыс. руб. </t>
  </si>
  <si>
    <t>Доля средств субсидии из федерального бюджета, запланированных на проведение мероприятий по обучению специалистов, от общего объема необходимой в 2021 году субсидии из федерального бюджета, %</t>
  </si>
  <si>
    <t>Общий объем средств субъекта Российской Федерации, запланированных на проведение мероприятий по обучению в 2021 году, тыс. руб.</t>
  </si>
  <si>
    <t xml:space="preserve">Общий объем средств субсидии из федерального бюджета, запланированных на приобретение оборудования в 2021 году, тыс. руб. </t>
  </si>
  <si>
    <t>Доля средств субсидии из федерального бюджета, запланированных на приобретение оборудования, от общего объема необходимой в 2021 году  субсидии из федерального бюджета, %</t>
  </si>
  <si>
    <t>Общий объем средств субъекта Российской Федерации, запланированных на приобретение оборудования в 2021 году, тыс. руб.</t>
  </si>
  <si>
    <t>Доля средств субсидии из федерального бюджета, запланированных на приобретение компьютерной техники, оргтехники и программного обеспечения, от общего объема необходимой в 2021 году субсидии из федервльного бюджета, %</t>
  </si>
  <si>
    <t>Общий объем средств субъекта Российской Федерации, запланированных на приобретение компьютерной техники, оргтехники и программного обеспечения в 2021 году, тыс. руб.</t>
  </si>
  <si>
    <t xml:space="preserve">Предельный уровень софинансирования  расходного обязательства субъекта Российской Федерации из федерального бюджета на 2021 год, %
 </t>
  </si>
  <si>
    <t>общий объем средств субсидии из федерального бюджета, запланированных на приобретение медицинского оборудования в 2021 году,                               тыс. руб.</t>
  </si>
  <si>
    <t>доля средств субсидии из федерального бюджета, запланированных на приобретение медицинского оборудования, от общего объема необходимой в 2021 году субсидии из федерального бюджета, %</t>
  </si>
  <si>
    <t>общий объем средств субъекта Российской Федерации, запланированных на приобретение медицинского оборудования в 2021 году, тыс. руб.</t>
  </si>
  <si>
    <t>нет</t>
  </si>
  <si>
    <t>Планшет для рисования водой "Аквабор"
20 шт</t>
  </si>
  <si>
    <t>Государственное бюджетное учреждение культуры и искусства "Государственный музей художественной культуры Новгородской земли"</t>
  </si>
  <si>
    <t>Тренажеры для разработки нижних конечностей
1 шт</t>
  </si>
  <si>
    <t>Беговая (роликовая) дорожка
1 шт</t>
  </si>
  <si>
    <t xml:space="preserve">аппаратно-программные комплексы и компьютерные программы для проведения профессиональной ориентации инвалидов
6 шт.
</t>
  </si>
  <si>
    <t>Держатели для лука</t>
  </si>
  <si>
    <t xml:space="preserve">ОБУСО «Детский дом-интернат для умственно отсталых детей имени Ушинского» </t>
  </si>
  <si>
    <t xml:space="preserve">ОАУСО «Реабилитационный центр для детей и подростков с ограниченными возможностями» </t>
  </si>
  <si>
    <t xml:space="preserve">ОАУСО «Маловишерский психоневрологический интернат «Оксочи» </t>
  </si>
  <si>
    <t>Индикаторы уровня жидкости</t>
  </si>
  <si>
    <t>Картофелечистка  электрическая</t>
  </si>
  <si>
    <t>Кухонные весы</t>
  </si>
  <si>
    <t>Чайник электрический</t>
  </si>
  <si>
    <t>Кухонные дозаторы масла</t>
  </si>
  <si>
    <t>Машины для нарезания продуктов</t>
  </si>
  <si>
    <t>Оградители тарелок для пищи
5 шт.</t>
  </si>
  <si>
    <t>Средства для сервировки пищи и напитков
5 шт.</t>
  </si>
  <si>
    <t>Столик для приема пищи на кресле-коляске
5 шт.</t>
  </si>
  <si>
    <t>Столовые приборы для еды
5 шт.</t>
  </si>
  <si>
    <t>Устройства для разогревания пищи
3 шт.</t>
  </si>
  <si>
    <t>Устройства для выжимания кухонных полотенец</t>
  </si>
  <si>
    <t>Терки</t>
  </si>
  <si>
    <t>Сырорезки</t>
  </si>
  <si>
    <t>Разделочная доска универсальная для инвалидов с приспособлениями</t>
  </si>
  <si>
    <t>Хлеборезка с держателем</t>
  </si>
  <si>
    <t>нож эргономичный для хлеба</t>
  </si>
  <si>
    <t>нож эргономичный для овощей</t>
  </si>
  <si>
    <t>нож эргономичный для мяса</t>
  </si>
  <si>
    <t xml:space="preserve">кровать с одной или несколькими секциями с электрическим механизмом
5 шт. </t>
  </si>
  <si>
    <t xml:space="preserve">Матрац с изменяемым профилем ложа
5 шт. </t>
  </si>
  <si>
    <t xml:space="preserve">Подголовник для шеи (подушечки для шеи)
5 шт. </t>
  </si>
  <si>
    <t xml:space="preserve">Опора под спину
5 шт. </t>
  </si>
  <si>
    <t xml:space="preserve">Раскладной столик для письма в кровати с подвижной столешницей
5 шт. </t>
  </si>
  <si>
    <t xml:space="preserve">Сидение для ванной
2 шт. </t>
  </si>
  <si>
    <t xml:space="preserve">Ванночка для мытья головы
2 шт. </t>
  </si>
  <si>
    <t xml:space="preserve">Стул для ванн
2 шт. </t>
  </si>
  <si>
    <t xml:space="preserve">Приспособления для мыть рук
2 шт. </t>
  </si>
  <si>
    <t xml:space="preserve">Кресло-стул с санитарным оснащением для компенсации ограничений способности к передвижению
5 шт. </t>
  </si>
  <si>
    <t xml:space="preserve">Лежак для ванны
1 шт. </t>
  </si>
  <si>
    <t xml:space="preserve">Портативная швейная машинка для инвалидов
1 шт. </t>
  </si>
  <si>
    <t xml:space="preserve">кресло коляска с электроприводом для инвалидов
1 шт. </t>
  </si>
  <si>
    <t>Стол механотерапии
1 шт.</t>
  </si>
  <si>
    <t>модуль для развития мелкой моторики
1 шт.</t>
  </si>
  <si>
    <t xml:space="preserve">Рабочие материалы для коррекции, средства для тренировки внимания, средства для тренировки памяти, средства обучения и развития способности понимать причину и следствие, средства обучения навыкам индуктивного/дедуктивного мышления, средства обучения навыкам умозрительного восприятия, средства обучения способности классифицировать, средства обучения способности решать проблемы, средства обучения пониманию измерения размеров и емкости, средства обучения способности различать время, тестовые методики для педагогической диагностики и консультирования - Комплекс для психолого-педагогической диагностики и коррекции </t>
  </si>
  <si>
    <t xml:space="preserve">6 отделов занятости населения ГОКУ "Центр занятости населения Новгородской области"
</t>
  </si>
  <si>
    <t>Государственное областное автономное учреждение  "Спортивная школа "Спорт-индустрия"</t>
  </si>
  <si>
    <t>Реабилитационная беговая дорожка  с поручнями, 5 шт</t>
  </si>
  <si>
    <t xml:space="preserve">Реабилитационный тренажер Жим от груди сидя (для инвалидов-колясочников) Hercules А-132i 4268 , 1 шт.
</t>
  </si>
  <si>
    <t>Педальный тренажер для ног и рук с шагомером Barry, 10 шт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</si>
  <si>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"Здоровье" 2 шт.</t>
  </si>
  <si>
    <t>Повышение квалификации, профес-сиональная переподготовка тренеров, инструкторов, методистов в области физической культуры и спорта</t>
  </si>
  <si>
    <t>АФК. Стажировка. Адаптивная физическая культура и физическая реабилитация</t>
  </si>
  <si>
    <t>Государственное бюджетное учреждение культуры «Новгородская областная специальная библиотека для незрячих и слабовидящих «Веда»</t>
  </si>
  <si>
    <t>Требуемое оборудование в орнаеизации отсутствует</t>
  </si>
  <si>
    <t>1. система сканирования и чтения плоскопечатных текстов;
2. пособия со шрифтом Брайля для слепых (книги, раскраски, учебники, карты, глобус, чертежные и письменные принадлежности);
3. аудио-материалы для слепых и слабовидящих 4. оборудование для песочной терапии;
5. оборудование для сенсорной комнаты
6. средства для рисования и рукописи:
расходные материалы  для проведения занятий по художественному творчеству (кисти, краски, пластилин, ватман и т.д.)</t>
  </si>
  <si>
    <t>1. 50,0;
2. 100,0;
3. 200,0;
4. 100,0;
5. 300,0;
6. 250,0.</t>
  </si>
  <si>
    <t>Требуемое оборудование и материалы в орнаеизации отсутствует</t>
  </si>
  <si>
    <t>1. компьютеры, вспомогательные и альтернативные принадлежности для компьютеров:
-планшеты,
-ноутбуки,
-интерактивная доска;
2. средства для рисования и рукописи:
расходные материалы  для проведения занятий по художественному творчеству (кисти, краски, пластилин, ватман и т.д.)</t>
  </si>
  <si>
    <t>1. 800,0;
2. 200,0</t>
  </si>
  <si>
    <t>Требуемые 
наборы для рисования отсутствуют</t>
  </si>
  <si>
    <t>брайлевский принтер Everest-D V5 (1 шт.)</t>
  </si>
  <si>
    <t xml:space="preserve">шумозащитный шкаф для принтера 
(1 шт.). </t>
  </si>
  <si>
    <t xml:space="preserve">компьютер, для работы принтера 
(1 шт.). </t>
  </si>
  <si>
    <t>Расходные материалы  для проведения занятий по художественному творчеству (кисти, краски, пластилин, ватман и т.д.)</t>
  </si>
  <si>
    <t xml:space="preserve">Развитие (доработка) информационных систем в целях формирования в единой информационной системе сведений об оказании реабилитационных и (или) абилитационных услуг инвалидам, детям-инвалидам, услуг ранней помощи детям целевой группы в сфере социальной защиты населения </t>
  </si>
  <si>
    <t>социальная защиты</t>
  </si>
  <si>
    <t>Единый портал реабилитационных услуг</t>
  </si>
  <si>
    <t xml:space="preserve">Развитие (доработка) информационных систем в целях формирования в единой информационной системе сведений об оказании реабилитационных и (или) абилитационных услуг инвалидам, детям-инвалидам, услуг ранней помощи детям целевой группы в сфере образования </t>
  </si>
  <si>
    <t xml:space="preserve">Развитие (доработка) информационных систем в целях формирования в единой информационной системе сведений об оказании реабилитационных и (или) абилитационных услуг инвалидам, детям-инвалидам, услуг ранней помощи детям целевой группы в сфере здравоохранения </t>
  </si>
  <si>
    <t xml:space="preserve">Развитие (доработка) информационных систем в целях формирования в единой информационной системе сведений об оказании реабилитационных и (или) абилитационных услуг инвалидам, детям-инвалидам, услуг ранней помощи детям целевой группы в сфере физический культуры и спорта </t>
  </si>
  <si>
    <t xml:space="preserve">физическая культура и спорт </t>
  </si>
  <si>
    <t>Объем средств, запланированных на проведение мероприятий по обучению специалистов, в 2021 году</t>
  </si>
  <si>
    <t>Соц защита</t>
  </si>
  <si>
    <t>имеется перечень в приложении1</t>
  </si>
  <si>
    <t>имеется перечень в приложении2</t>
  </si>
  <si>
    <t>имеется перечень в приложении3</t>
  </si>
  <si>
    <t>набор для творчества "Эбру" 10 шт.</t>
  </si>
  <si>
    <t xml:space="preserve">устройство самостоятельного подъема и перемещения для инвалидов
1 шт. </t>
  </si>
  <si>
    <t>Учебно-тренировочные модули с прорезями для развити целенаправленных движений рук 1 шт.</t>
  </si>
  <si>
    <t>Настольный тренажер для развития координации движения рук с парными отверстями и фигурами 1 шт.</t>
  </si>
  <si>
    <t>Геометрический мягкий конструктор 1 шт.</t>
  </si>
  <si>
    <t>набор детской мебели 1 шт.</t>
  </si>
  <si>
    <t>министерство образования Новгородской области</t>
  </si>
  <si>
    <t>Сухой бассейн (угловой) 1 шт Цветной шарик для сухих бассейнов 2 шт</t>
  </si>
  <si>
    <t>батут (диаметр 112 см) 2 шт</t>
  </si>
  <si>
    <t>Тактильная дорожка (с модулем для передвижения) 2 шт</t>
  </si>
  <si>
    <t>Мяч массажный (75 см) 4 шт</t>
  </si>
  <si>
    <t>Мягкий игровой набор «Полоса препятствий» 15 элементов 1 шт</t>
  </si>
  <si>
    <t>Игровая труба "Перекати поле" 3 шт</t>
  </si>
  <si>
    <t>Подвесная платформа 1 шт</t>
  </si>
  <si>
    <t>Детский мат "Дорожка" 6 шт</t>
  </si>
  <si>
    <t>Пуфик-кресло с гранулами 3 шт</t>
  </si>
  <si>
    <t>Тактильная дорожка «Зиг-Заг»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</si>
</sst>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0" fontId="5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0" fontId="9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9" fillId="0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6" fillId="5" borderId="1" xfId="0" applyFont="1" applyFill="1" applyBorder="1"/>
    <xf numFmtId="0" fontId="14" fillId="0" borderId="1" xfId="0" applyFont="1" applyBorder="1"/>
    <xf numFmtId="0" fontId="15" fillId="0" borderId="1" xfId="0" applyFont="1" applyBorder="1"/>
    <xf numFmtId="164" fontId="6" fillId="5" borderId="1" xfId="0" applyNumberFormat="1" applyFont="1" applyFill="1" applyBorder="1"/>
    <xf numFmtId="0" fontId="6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164" fontId="0" fillId="6" borderId="1" xfId="0" applyNumberFormat="1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165" fontId="0" fillId="6" borderId="1" xfId="0" applyNumberFormat="1" applyFill="1" applyBorder="1" applyAlignment="1">
      <alignment horizontal="center" vertical="top"/>
    </xf>
    <xf numFmtId="165" fontId="13" fillId="6" borderId="1" xfId="0" applyNumberFormat="1" applyFont="1" applyFill="1" applyBorder="1" applyAlignment="1">
      <alignment horizontal="center" vertical="top" wrapText="1"/>
    </xf>
    <xf numFmtId="0" fontId="0" fillId="6" borderId="0" xfId="0" applyFill="1" applyAlignment="1">
      <alignment horizontal="center" vertical="top"/>
    </xf>
    <xf numFmtId="0" fontId="0" fillId="6" borderId="1" xfId="0" applyFill="1" applyBorder="1" applyAlignment="1">
      <alignment horizontal="center" vertical="top" wrapText="1"/>
    </xf>
    <xf numFmtId="0" fontId="9" fillId="6" borderId="0" xfId="0" applyFont="1" applyFill="1" applyBorder="1" applyAlignment="1">
      <alignment horizontal="center" vertical="top" wrapText="1"/>
    </xf>
    <xf numFmtId="164" fontId="0" fillId="6" borderId="0" xfId="0" applyNumberFormat="1" applyFill="1" applyBorder="1" applyAlignment="1">
      <alignment horizontal="center" vertical="top"/>
    </xf>
    <xf numFmtId="0" fontId="0" fillId="6" borderId="0" xfId="0" applyFill="1" applyBorder="1" applyAlignment="1">
      <alignment horizontal="center" vertical="top"/>
    </xf>
    <xf numFmtId="0" fontId="13" fillId="6" borderId="0" xfId="0" applyFont="1" applyFill="1" applyBorder="1" applyAlignment="1">
      <alignment horizontal="center" vertical="top" wrapText="1"/>
    </xf>
    <xf numFmtId="165" fontId="9" fillId="6" borderId="0" xfId="0" applyNumberFormat="1" applyFont="1" applyFill="1" applyBorder="1" applyAlignment="1">
      <alignment horizontal="center" vertical="top" wrapText="1"/>
    </xf>
    <xf numFmtId="165" fontId="0" fillId="6" borderId="0" xfId="0" applyNumberFormat="1" applyFill="1" applyBorder="1" applyAlignment="1">
      <alignment horizontal="center" vertical="top"/>
    </xf>
    <xf numFmtId="0" fontId="0" fillId="6" borderId="0" xfId="0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0" fillId="6" borderId="0" xfId="0" applyFill="1" applyAlignment="1">
      <alignment horizontal="center" vertical="top" wrapText="1"/>
    </xf>
    <xf numFmtId="164" fontId="13" fillId="6" borderId="1" xfId="0" applyNumberFormat="1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 wrapText="1"/>
    </xf>
    <xf numFmtId="0" fontId="0" fillId="6" borderId="0" xfId="0" applyFill="1"/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/>
    <xf numFmtId="0" fontId="4" fillId="0" borderId="0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2" fillId="6" borderId="6" xfId="0" applyFont="1" applyFill="1" applyBorder="1" applyAlignment="1">
      <alignment horizontal="center" vertical="top" wrapText="1"/>
    </xf>
    <xf numFmtId="0" fontId="0" fillId="6" borderId="8" xfId="0" applyFill="1" applyBorder="1" applyAlignment="1">
      <alignment horizontal="center" vertical="top" wrapText="1"/>
    </xf>
    <xf numFmtId="0" fontId="0" fillId="6" borderId="7" xfId="0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center" vertical="top" wrapText="1"/>
    </xf>
    <xf numFmtId="0" fontId="0" fillId="6" borderId="0" xfId="0" applyFill="1" applyAlignment="1">
      <alignment horizontal="center" vertical="top" wrapText="1"/>
    </xf>
    <xf numFmtId="0" fontId="5" fillId="6" borderId="0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12" fillId="6" borderId="5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/>
    </xf>
    <xf numFmtId="0" fontId="12" fillId="6" borderId="5" xfId="0" applyFont="1" applyFill="1" applyBorder="1" applyAlignment="1">
      <alignment horizontal="center" vertical="top"/>
    </xf>
    <xf numFmtId="0" fontId="12" fillId="6" borderId="2" xfId="0" applyFont="1" applyFill="1" applyBorder="1" applyAlignment="1">
      <alignment horizontal="center" vertical="top" wrapText="1"/>
    </xf>
    <xf numFmtId="0" fontId="12" fillId="6" borderId="8" xfId="0" applyFont="1" applyFill="1" applyBorder="1" applyAlignment="1">
      <alignment horizontal="center" vertical="top" wrapText="1"/>
    </xf>
    <xf numFmtId="0" fontId="12" fillId="6" borderId="7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9" fillId="0" borderId="6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1" xfId="0" applyFill="1" applyBorder="1" applyAlignment="1"/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workbookViewId="0">
      <selection activeCell="B2" sqref="B2"/>
    </sheetView>
  </sheetViews>
  <sheetFormatPr defaultRowHeight="15" x14ac:dyDescent="0.25"/>
  <cols>
    <col min="1" max="1" width="25.140625" customWidth="1"/>
    <col min="2" max="2" width="24.28515625" customWidth="1"/>
    <col min="3" max="3" width="18.42578125" customWidth="1"/>
  </cols>
  <sheetData>
    <row r="2" spans="1:2" x14ac:dyDescent="0.25">
      <c r="A2" t="s">
        <v>169</v>
      </c>
      <c r="B2" t="e">
        <f>'Реаб оборудование+оргтехника '!#REF!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8"/>
  <sheetViews>
    <sheetView view="pageBreakPreview" zoomScale="74" zoomScaleNormal="70" zoomScaleSheetLayoutView="74" workbookViewId="0">
      <pane ySplit="3" topLeftCell="A4" activePane="bottomLeft" state="frozen"/>
      <selection pane="bottomLeft" activeCell="G2" sqref="G2:G3"/>
    </sheetView>
  </sheetViews>
  <sheetFormatPr defaultRowHeight="15" x14ac:dyDescent="0.25"/>
  <cols>
    <col min="1" max="1" width="15.5703125" style="2" customWidth="1"/>
    <col min="2" max="2" width="14.7109375" style="2" customWidth="1"/>
    <col min="3" max="3" width="19" style="2" customWidth="1"/>
    <col min="4" max="4" width="17.140625" style="2" customWidth="1"/>
    <col min="5" max="5" width="18.85546875" style="4" customWidth="1"/>
    <col min="6" max="6" width="13.28515625" style="4" customWidth="1"/>
    <col min="7" max="7" width="20.28515625" style="4" customWidth="1"/>
    <col min="8" max="8" width="20.85546875" style="4" customWidth="1"/>
    <col min="9" max="9" width="19.85546875" style="4" customWidth="1"/>
    <col min="10" max="10" width="21" style="4" customWidth="1"/>
    <col min="11" max="11" width="21.28515625" style="4" customWidth="1"/>
    <col min="12" max="12" width="19.5703125" style="4" customWidth="1"/>
    <col min="13" max="13" width="18.28515625" style="3" customWidth="1"/>
    <col min="14" max="14" width="13.28515625" style="3" customWidth="1"/>
    <col min="15" max="15" width="16.5703125" style="3" customWidth="1"/>
    <col min="16" max="16" width="20.42578125" style="3" customWidth="1"/>
    <col min="17" max="17" width="17.7109375" style="3" customWidth="1"/>
    <col min="18" max="18" width="19.5703125" style="3" customWidth="1"/>
    <col min="19" max="19" width="18.140625" style="5" customWidth="1"/>
    <col min="20" max="20" width="20.140625" style="1" customWidth="1"/>
  </cols>
  <sheetData>
    <row r="1" spans="1:35" ht="66.75" customHeight="1" x14ac:dyDescent="0.25">
      <c r="A1" s="62" t="s">
        <v>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35" ht="70.5" customHeight="1" x14ac:dyDescent="0.25">
      <c r="A2" s="60" t="s">
        <v>0</v>
      </c>
      <c r="B2" s="60" t="s">
        <v>9</v>
      </c>
      <c r="C2" s="61"/>
      <c r="D2" s="61"/>
      <c r="E2" s="63" t="s">
        <v>1</v>
      </c>
      <c r="F2" s="61"/>
      <c r="G2" s="63" t="s">
        <v>78</v>
      </c>
      <c r="H2" s="63" t="s">
        <v>92</v>
      </c>
      <c r="I2" s="63" t="s">
        <v>80</v>
      </c>
      <c r="J2" s="63" t="s">
        <v>60</v>
      </c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35" ht="318.75" customHeight="1" x14ac:dyDescent="0.25">
      <c r="A3" s="64"/>
      <c r="B3" s="17" t="s">
        <v>10</v>
      </c>
      <c r="C3" s="17" t="s">
        <v>12</v>
      </c>
      <c r="D3" s="17" t="s">
        <v>11</v>
      </c>
      <c r="E3" s="18" t="s">
        <v>4</v>
      </c>
      <c r="F3" s="18" t="s">
        <v>3</v>
      </c>
      <c r="G3" s="65"/>
      <c r="H3" s="65"/>
      <c r="I3" s="65"/>
      <c r="J3" s="18" t="s">
        <v>93</v>
      </c>
      <c r="K3" s="18" t="s">
        <v>94</v>
      </c>
      <c r="L3" s="20" t="s">
        <v>95</v>
      </c>
      <c r="M3" s="18" t="s">
        <v>44</v>
      </c>
      <c r="N3" s="18" t="s">
        <v>3</v>
      </c>
      <c r="O3" s="18" t="s">
        <v>14</v>
      </c>
      <c r="P3" s="11" t="s">
        <v>6</v>
      </c>
      <c r="Q3" s="18" t="s">
        <v>13</v>
      </c>
      <c r="R3" s="18" t="s">
        <v>15</v>
      </c>
      <c r="S3" s="18" t="s">
        <v>2</v>
      </c>
      <c r="T3" s="18" t="s">
        <v>5</v>
      </c>
    </row>
    <row r="4" spans="1:35" ht="24.75" customHeight="1" x14ac:dyDescent="0.2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>
        <v>16</v>
      </c>
      <c r="Q4" s="13">
        <v>17</v>
      </c>
      <c r="R4" s="13">
        <v>18</v>
      </c>
      <c r="S4" s="13">
        <v>19</v>
      </c>
      <c r="T4" s="13">
        <v>20</v>
      </c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s="25" customFormat="1" ht="387" customHeight="1" x14ac:dyDescent="0.25">
      <c r="A5" s="24" t="s">
        <v>67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6"/>
      <c r="Q5" s="24"/>
      <c r="R5" s="24"/>
      <c r="S5" s="24"/>
      <c r="T5" s="24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5" ht="33" customHeight="1" x14ac:dyDescent="0.25">
      <c r="A6" s="56" t="s">
        <v>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8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16"/>
      <c r="AH6" s="16"/>
      <c r="AI6" s="16"/>
    </row>
    <row r="7" spans="1:35" ht="34.5" customHeight="1" x14ac:dyDescent="0.25">
      <c r="A7" s="56" t="s">
        <v>52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35" x14ac:dyDescent="0.25">
      <c r="A8" s="6"/>
      <c r="B8" s="6"/>
      <c r="C8" s="6"/>
      <c r="D8" s="6"/>
      <c r="E8" s="7"/>
      <c r="F8" s="7"/>
      <c r="G8" s="7"/>
      <c r="H8" s="7"/>
      <c r="I8" s="7"/>
      <c r="J8" s="7"/>
      <c r="K8" s="7"/>
      <c r="L8" s="7"/>
      <c r="M8" s="8"/>
      <c r="N8" s="8"/>
      <c r="O8" s="8"/>
      <c r="P8" s="8"/>
      <c r="Q8" s="8"/>
      <c r="R8" s="8"/>
      <c r="S8" s="9"/>
      <c r="T8" s="10"/>
    </row>
    <row r="9" spans="1:35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8"/>
      <c r="N9" s="8"/>
      <c r="O9" s="8"/>
      <c r="P9" s="8"/>
      <c r="Q9" s="8"/>
      <c r="R9" s="8"/>
      <c r="S9" s="9"/>
      <c r="T9" s="10"/>
    </row>
    <row r="10" spans="1:35" x14ac:dyDescent="0.25">
      <c r="A10" s="6"/>
      <c r="B10" s="6"/>
      <c r="C10" s="6"/>
      <c r="D10" s="6"/>
      <c r="E10" s="7"/>
      <c r="F10" s="7"/>
      <c r="G10" s="7"/>
      <c r="H10" s="7"/>
      <c r="I10" s="7"/>
      <c r="J10" s="7"/>
      <c r="K10" s="7"/>
      <c r="L10" s="7"/>
      <c r="M10" s="8"/>
      <c r="N10" s="8"/>
      <c r="O10" s="8"/>
      <c r="P10" s="8"/>
      <c r="Q10" s="8"/>
      <c r="R10" s="8"/>
      <c r="S10" s="9"/>
      <c r="T10" s="10"/>
    </row>
    <row r="11" spans="1:35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8"/>
      <c r="N11" s="8"/>
      <c r="O11" s="8"/>
      <c r="P11" s="8"/>
      <c r="Q11" s="8"/>
      <c r="R11" s="8"/>
      <c r="S11" s="9"/>
      <c r="T11" s="10"/>
    </row>
    <row r="12" spans="1:35" x14ac:dyDescent="0.25">
      <c r="A12" s="6"/>
      <c r="B12" s="6"/>
      <c r="C12" s="6"/>
      <c r="D12" s="6"/>
      <c r="E12" s="7"/>
      <c r="F12" s="7"/>
      <c r="G12" s="7"/>
      <c r="H12" s="7"/>
      <c r="I12" s="7"/>
      <c r="J12" s="7"/>
      <c r="K12" s="7"/>
      <c r="L12" s="7"/>
      <c r="M12" s="8"/>
      <c r="N12" s="8"/>
      <c r="O12" s="8"/>
      <c r="P12" s="8"/>
      <c r="Q12" s="8"/>
      <c r="R12" s="8"/>
      <c r="S12" s="9"/>
      <c r="T12" s="10"/>
    </row>
    <row r="13" spans="1:35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8"/>
      <c r="N13" s="8"/>
      <c r="O13" s="8"/>
      <c r="P13" s="8"/>
      <c r="Q13" s="8"/>
      <c r="R13" s="8"/>
      <c r="S13" s="9"/>
      <c r="T13" s="10"/>
    </row>
    <row r="14" spans="1:35" x14ac:dyDescent="0.25">
      <c r="A14" s="6"/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  <c r="M14" s="8"/>
      <c r="N14" s="8"/>
      <c r="O14" s="8"/>
      <c r="P14" s="8"/>
      <c r="Q14" s="8"/>
      <c r="R14" s="8"/>
      <c r="S14" s="9"/>
      <c r="T14" s="10"/>
    </row>
    <row r="15" spans="1:35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8"/>
      <c r="N15" s="8"/>
      <c r="O15" s="8"/>
      <c r="P15" s="8"/>
      <c r="Q15" s="8"/>
      <c r="R15" s="8"/>
      <c r="S15" s="9"/>
      <c r="T15" s="10"/>
    </row>
    <row r="16" spans="1:35" x14ac:dyDescent="0.25">
      <c r="A16" s="6"/>
      <c r="B16" s="6"/>
      <c r="C16" s="6"/>
      <c r="D16" s="6"/>
      <c r="E16" s="7"/>
      <c r="F16" s="7"/>
      <c r="G16" s="7"/>
      <c r="H16" s="7"/>
      <c r="I16" s="7"/>
      <c r="J16" s="7"/>
      <c r="K16" s="7"/>
      <c r="L16" s="7"/>
      <c r="M16" s="8"/>
      <c r="N16" s="8"/>
      <c r="O16" s="8"/>
      <c r="P16" s="8"/>
      <c r="Q16" s="8"/>
      <c r="R16" s="8"/>
      <c r="S16" s="9"/>
      <c r="T16" s="10"/>
    </row>
    <row r="17" spans="1:20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8"/>
      <c r="N17" s="8"/>
      <c r="O17" s="8"/>
      <c r="P17" s="8"/>
      <c r="Q17" s="8"/>
      <c r="R17" s="8"/>
      <c r="S17" s="9"/>
      <c r="T17" s="10"/>
    </row>
    <row r="18" spans="1:20" x14ac:dyDescent="0.25">
      <c r="A18" s="6"/>
      <c r="B18" s="6"/>
      <c r="C18" s="6"/>
      <c r="D18" s="6"/>
      <c r="E18" s="7"/>
      <c r="F18" s="7"/>
      <c r="G18" s="7"/>
      <c r="H18" s="7"/>
      <c r="I18" s="7"/>
      <c r="J18" s="7"/>
      <c r="K18" s="7"/>
      <c r="L18" s="7"/>
      <c r="M18" s="8"/>
      <c r="N18" s="8"/>
      <c r="O18" s="8"/>
      <c r="P18" s="8"/>
      <c r="Q18" s="8"/>
      <c r="R18" s="8"/>
      <c r="S18" s="9"/>
      <c r="T18" s="10"/>
    </row>
    <row r="19" spans="1:20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8"/>
      <c r="N19" s="8"/>
      <c r="O19" s="8"/>
      <c r="P19" s="8"/>
      <c r="Q19" s="8"/>
      <c r="R19" s="8"/>
      <c r="S19" s="9"/>
      <c r="T19" s="10"/>
    </row>
    <row r="20" spans="1:20" x14ac:dyDescent="0.25">
      <c r="A20" s="6"/>
      <c r="B20" s="6"/>
      <c r="C20" s="6"/>
      <c r="D20" s="6"/>
      <c r="E20" s="7"/>
      <c r="F20" s="7"/>
      <c r="G20" s="7"/>
      <c r="H20" s="7"/>
      <c r="I20" s="7"/>
      <c r="J20" s="7"/>
      <c r="K20" s="7"/>
      <c r="L20" s="7"/>
      <c r="M20" s="8"/>
      <c r="N20" s="8"/>
      <c r="O20" s="8"/>
      <c r="P20" s="8"/>
      <c r="Q20" s="8"/>
      <c r="R20" s="8"/>
      <c r="S20" s="9"/>
      <c r="T20" s="10"/>
    </row>
    <row r="21" spans="1:20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8"/>
      <c r="N21" s="8"/>
      <c r="O21" s="8"/>
      <c r="P21" s="8"/>
      <c r="Q21" s="8"/>
      <c r="R21" s="8"/>
      <c r="S21" s="9"/>
      <c r="T21" s="10"/>
    </row>
    <row r="22" spans="1:20" x14ac:dyDescent="0.25">
      <c r="A22" s="6"/>
      <c r="B22" s="6"/>
      <c r="C22" s="6"/>
      <c r="D22" s="6"/>
      <c r="E22" s="7"/>
      <c r="F22" s="7"/>
      <c r="G22" s="7"/>
      <c r="H22" s="7"/>
      <c r="I22" s="7"/>
      <c r="J22" s="7"/>
      <c r="K22" s="7"/>
      <c r="L22" s="7"/>
      <c r="M22" s="8"/>
      <c r="N22" s="8"/>
      <c r="O22" s="8"/>
      <c r="P22" s="8"/>
      <c r="Q22" s="8"/>
      <c r="R22" s="8"/>
      <c r="S22" s="9"/>
      <c r="T22" s="10"/>
    </row>
    <row r="23" spans="1:20" x14ac:dyDescent="0.25">
      <c r="A23" s="6"/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8"/>
      <c r="N23" s="8"/>
      <c r="O23" s="8"/>
      <c r="P23" s="8"/>
      <c r="Q23" s="8"/>
      <c r="R23" s="8"/>
      <c r="S23" s="9"/>
      <c r="T23" s="10"/>
    </row>
    <row r="24" spans="1:20" x14ac:dyDescent="0.25">
      <c r="A24" s="6"/>
      <c r="B24" s="6"/>
      <c r="C24" s="6"/>
      <c r="D24" s="6"/>
      <c r="E24" s="7"/>
      <c r="F24" s="7"/>
      <c r="G24" s="7"/>
      <c r="H24" s="7"/>
      <c r="I24" s="7"/>
      <c r="J24" s="7"/>
      <c r="K24" s="7"/>
      <c r="L24" s="7"/>
      <c r="M24" s="8"/>
      <c r="N24" s="8"/>
      <c r="O24" s="8"/>
      <c r="P24" s="8"/>
      <c r="Q24" s="8"/>
      <c r="R24" s="8"/>
      <c r="S24" s="9"/>
      <c r="T24" s="10"/>
    </row>
    <row r="25" spans="1:20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8"/>
      <c r="N25" s="8"/>
      <c r="O25" s="8"/>
      <c r="P25" s="8"/>
      <c r="Q25" s="8"/>
      <c r="R25" s="8"/>
      <c r="S25" s="9"/>
      <c r="T25" s="10"/>
    </row>
    <row r="114" ht="12" customHeight="1" x14ac:dyDescent="0.25"/>
    <row r="115" hidden="1" x14ac:dyDescent="0.25"/>
    <row r="116" hidden="1" x14ac:dyDescent="0.25"/>
    <row r="117" hidden="1" x14ac:dyDescent="0.25"/>
    <row r="118" hidden="1" x14ac:dyDescent="0.25"/>
  </sheetData>
  <mergeCells count="11">
    <mergeCell ref="A7:T7"/>
    <mergeCell ref="U6:AF6"/>
    <mergeCell ref="B2:D2"/>
    <mergeCell ref="A1:T1"/>
    <mergeCell ref="E2:F2"/>
    <mergeCell ref="A2:A3"/>
    <mergeCell ref="A6:T6"/>
    <mergeCell ref="G2:G3"/>
    <mergeCell ref="J2:T2"/>
    <mergeCell ref="I2:I3"/>
    <mergeCell ref="H2:H3"/>
  </mergeCells>
  <pageMargins left="0.11811023622047245" right="0.11811023622047245" top="0.74803149606299213" bottom="0.74803149606299213" header="0.31496062992125984" footer="0.31496062992125984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9"/>
  <sheetViews>
    <sheetView tabSelected="1" view="pageBreakPreview" zoomScale="57" zoomScaleSheetLayoutView="57" workbookViewId="0">
      <pane ySplit="5" topLeftCell="A6" activePane="bottomLeft" state="frozen"/>
      <selection pane="bottomLeft" activeCell="U111" sqref="U111"/>
    </sheetView>
  </sheetViews>
  <sheetFormatPr defaultRowHeight="15" x14ac:dyDescent="0.25"/>
  <cols>
    <col min="1" max="1" width="15.140625" style="40" customWidth="1"/>
    <col min="2" max="4" width="18" style="40" customWidth="1"/>
    <col min="5" max="5" width="16.140625" style="40" customWidth="1"/>
    <col min="6" max="6" width="15.85546875" style="40" customWidth="1"/>
    <col min="7" max="7" width="18.140625" style="40" customWidth="1"/>
    <col min="8" max="8" width="15" style="40" customWidth="1"/>
    <col min="9" max="10" width="15.7109375" style="40" customWidth="1"/>
    <col min="11" max="11" width="22.140625" style="40" customWidth="1"/>
    <col min="12" max="12" width="11.42578125" style="40" customWidth="1"/>
    <col min="13" max="13" width="13.28515625" style="40" customWidth="1"/>
    <col min="14" max="14" width="13" style="40" customWidth="1"/>
    <col min="15" max="15" width="13.7109375" style="40" customWidth="1"/>
    <col min="16" max="16" width="21.28515625" style="40" customWidth="1"/>
    <col min="17" max="17" width="13.85546875" style="40" customWidth="1"/>
    <col min="18" max="18" width="13.7109375" style="40" customWidth="1"/>
    <col min="19" max="19" width="14.5703125" style="40" customWidth="1"/>
    <col min="20" max="20" width="15.28515625" style="40" customWidth="1"/>
    <col min="21" max="21" width="14" style="40" customWidth="1"/>
    <col min="22" max="22" width="14.42578125" style="40" customWidth="1"/>
    <col min="23" max="23" width="13.140625" style="40" customWidth="1"/>
    <col min="24" max="24" width="13.28515625" style="40" customWidth="1"/>
    <col min="25" max="25" width="14" style="40" customWidth="1"/>
    <col min="26" max="27" width="13.28515625" style="40" customWidth="1"/>
    <col min="28" max="28" width="15.42578125" style="40" customWidth="1"/>
    <col min="29" max="29" width="13.140625" style="40" customWidth="1"/>
    <col min="30" max="30" width="13" style="40" customWidth="1"/>
    <col min="31" max="31" width="17.140625" style="40" customWidth="1"/>
    <col min="32" max="32" width="14" style="40" customWidth="1"/>
    <col min="33" max="33" width="13.28515625" style="40" customWidth="1"/>
    <col min="34" max="34" width="17.42578125" style="40" customWidth="1"/>
    <col min="35" max="35" width="14.140625" style="40" customWidth="1"/>
    <col min="36" max="16384" width="9.140625" style="40"/>
  </cols>
  <sheetData>
    <row r="1" spans="1:35" ht="48.75" customHeight="1" x14ac:dyDescent="0.25">
      <c r="A1" s="72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29.25" customHeight="1" x14ac:dyDescent="0.25"/>
    <row r="3" spans="1:35" x14ac:dyDescent="0.25">
      <c r="A3" s="69" t="s">
        <v>0</v>
      </c>
      <c r="B3" s="66" t="s">
        <v>78</v>
      </c>
      <c r="C3" s="66" t="s">
        <v>79</v>
      </c>
      <c r="D3" s="66" t="s">
        <v>80</v>
      </c>
      <c r="E3" s="66" t="s">
        <v>87</v>
      </c>
      <c r="F3" s="66" t="s">
        <v>88</v>
      </c>
      <c r="G3" s="66" t="s">
        <v>89</v>
      </c>
      <c r="H3" s="66" t="s">
        <v>41</v>
      </c>
      <c r="I3" s="66" t="s">
        <v>90</v>
      </c>
      <c r="J3" s="66" t="s">
        <v>91</v>
      </c>
      <c r="K3" s="69" t="s">
        <v>42</v>
      </c>
      <c r="L3" s="69" t="s">
        <v>43</v>
      </c>
      <c r="M3" s="69"/>
      <c r="N3" s="69"/>
      <c r="O3" s="69" t="s">
        <v>26</v>
      </c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70"/>
      <c r="AC3" s="70"/>
      <c r="AD3" s="70"/>
      <c r="AE3" s="70"/>
      <c r="AF3" s="70"/>
      <c r="AG3" s="70"/>
      <c r="AH3" s="70"/>
      <c r="AI3" s="70"/>
    </row>
    <row r="4" spans="1:35" ht="38.25" customHeight="1" x14ac:dyDescent="0.25">
      <c r="A4" s="70"/>
      <c r="B4" s="81"/>
      <c r="C4" s="67"/>
      <c r="D4" s="67"/>
      <c r="E4" s="67"/>
      <c r="F4" s="67"/>
      <c r="G4" s="67"/>
      <c r="H4" s="67"/>
      <c r="I4" s="67"/>
      <c r="J4" s="67"/>
      <c r="K4" s="70"/>
      <c r="L4" s="71"/>
      <c r="M4" s="71"/>
      <c r="N4" s="71"/>
      <c r="O4" s="75" t="s">
        <v>27</v>
      </c>
      <c r="P4" s="76"/>
      <c r="Q4" s="77"/>
      <c r="R4" s="75" t="s">
        <v>28</v>
      </c>
      <c r="S4" s="76"/>
      <c r="T4" s="77"/>
      <c r="U4" s="75" t="s">
        <v>46</v>
      </c>
      <c r="V4" s="78"/>
      <c r="W4" s="79"/>
      <c r="X4" s="75" t="s">
        <v>29</v>
      </c>
      <c r="Y4" s="78"/>
      <c r="Z4" s="79"/>
      <c r="AA4" s="75" t="s">
        <v>30</v>
      </c>
      <c r="AB4" s="80"/>
      <c r="AC4" s="77"/>
      <c r="AD4" s="75" t="s">
        <v>31</v>
      </c>
      <c r="AE4" s="76"/>
      <c r="AF4" s="77"/>
      <c r="AG4" s="69" t="s">
        <v>32</v>
      </c>
      <c r="AH4" s="71"/>
      <c r="AI4" s="71"/>
    </row>
    <row r="5" spans="1:35" ht="182.25" customHeight="1" x14ac:dyDescent="0.25">
      <c r="A5" s="70"/>
      <c r="B5" s="82"/>
      <c r="C5" s="68"/>
      <c r="D5" s="68"/>
      <c r="E5" s="68"/>
      <c r="F5" s="68"/>
      <c r="G5" s="68"/>
      <c r="H5" s="68"/>
      <c r="I5" s="68"/>
      <c r="J5" s="68"/>
      <c r="K5" s="70"/>
      <c r="L5" s="50" t="s">
        <v>23</v>
      </c>
      <c r="M5" s="50" t="s">
        <v>53</v>
      </c>
      <c r="N5" s="50" t="s">
        <v>34</v>
      </c>
      <c r="O5" s="50" t="s">
        <v>24</v>
      </c>
      <c r="P5" s="50" t="s">
        <v>25</v>
      </c>
      <c r="Q5" s="50" t="s">
        <v>22</v>
      </c>
      <c r="R5" s="50" t="s">
        <v>24</v>
      </c>
      <c r="S5" s="50" t="s">
        <v>25</v>
      </c>
      <c r="T5" s="50" t="s">
        <v>22</v>
      </c>
      <c r="U5" s="50" t="s">
        <v>24</v>
      </c>
      <c r="V5" s="50" t="s">
        <v>25</v>
      </c>
      <c r="W5" s="50" t="s">
        <v>22</v>
      </c>
      <c r="X5" s="50" t="s">
        <v>24</v>
      </c>
      <c r="Y5" s="50" t="s">
        <v>25</v>
      </c>
      <c r="Z5" s="50" t="s">
        <v>22</v>
      </c>
      <c r="AA5" s="50" t="s">
        <v>24</v>
      </c>
      <c r="AB5" s="50" t="s">
        <v>25</v>
      </c>
      <c r="AC5" s="50" t="s">
        <v>22</v>
      </c>
      <c r="AD5" s="50" t="s">
        <v>24</v>
      </c>
      <c r="AE5" s="50" t="s">
        <v>25</v>
      </c>
      <c r="AF5" s="50" t="s">
        <v>22</v>
      </c>
      <c r="AG5" s="50" t="s">
        <v>24</v>
      </c>
      <c r="AH5" s="50" t="s">
        <v>25</v>
      </c>
      <c r="AI5" s="50" t="s">
        <v>22</v>
      </c>
    </row>
    <row r="6" spans="1:35" x14ac:dyDescent="0.2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  <c r="X6" s="34">
        <v>24</v>
      </c>
      <c r="Y6" s="34">
        <v>25</v>
      </c>
      <c r="Z6" s="34">
        <v>26</v>
      </c>
      <c r="AA6" s="34">
        <v>27</v>
      </c>
      <c r="AB6" s="34">
        <v>28</v>
      </c>
      <c r="AC6" s="34">
        <v>29</v>
      </c>
      <c r="AD6" s="34">
        <v>30</v>
      </c>
      <c r="AE6" s="34">
        <v>31</v>
      </c>
      <c r="AF6" s="34">
        <v>32</v>
      </c>
      <c r="AG6" s="34">
        <v>33</v>
      </c>
      <c r="AH6" s="34">
        <v>34</v>
      </c>
      <c r="AI6" s="34">
        <v>35</v>
      </c>
    </row>
    <row r="7" spans="1:35" ht="95.25" customHeight="1" x14ac:dyDescent="0.25">
      <c r="A7" s="35" t="s">
        <v>67</v>
      </c>
      <c r="B7" s="38">
        <f t="shared" ref="B7:B14" si="0">E7+G7</f>
        <v>1037.2629999999999</v>
      </c>
      <c r="C7" s="37">
        <v>97</v>
      </c>
      <c r="D7" s="39">
        <f>G7</f>
        <v>31.117889999999996</v>
      </c>
      <c r="E7" s="38">
        <f>Q7*F7%+W7*F7%</f>
        <v>1006.1451099999999</v>
      </c>
      <c r="F7" s="34">
        <v>97</v>
      </c>
      <c r="G7" s="38">
        <f>Q7*3%+W7*3%</f>
        <v>31.117889999999996</v>
      </c>
      <c r="H7" s="39"/>
      <c r="I7" s="39"/>
      <c r="J7" s="34"/>
      <c r="K7" s="34" t="s">
        <v>105</v>
      </c>
      <c r="L7" s="34"/>
      <c r="M7" s="34"/>
      <c r="N7" s="34"/>
      <c r="O7" s="34" t="s">
        <v>170</v>
      </c>
      <c r="P7" s="41" t="s">
        <v>137</v>
      </c>
      <c r="Q7" s="38">
        <v>699.56299999999999</v>
      </c>
      <c r="R7" s="37"/>
      <c r="S7" s="37"/>
      <c r="T7" s="37"/>
      <c r="V7" s="34" t="s">
        <v>138</v>
      </c>
      <c r="W7" s="34">
        <v>337.7</v>
      </c>
      <c r="X7" s="39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93" customHeight="1" x14ac:dyDescent="0.25">
      <c r="A8" s="35" t="s">
        <v>67</v>
      </c>
      <c r="B8" s="38">
        <f t="shared" si="0"/>
        <v>1037.2629999999999</v>
      </c>
      <c r="C8" s="37">
        <v>97</v>
      </c>
      <c r="D8" s="39">
        <f t="shared" ref="D8:D71" si="1">G8</f>
        <v>31.117889999999996</v>
      </c>
      <c r="E8" s="38">
        <f t="shared" ref="E8:E14" si="2">Q8*F8%+W8*F8%</f>
        <v>1006.1451099999999</v>
      </c>
      <c r="F8" s="34">
        <v>97</v>
      </c>
      <c r="G8" s="38">
        <f t="shared" ref="G8:G17" si="3">Q8*3%+W8*3%</f>
        <v>31.117889999999996</v>
      </c>
      <c r="H8" s="39"/>
      <c r="I8" s="34"/>
      <c r="J8" s="34"/>
      <c r="K8" s="34" t="s">
        <v>104</v>
      </c>
      <c r="L8" s="34"/>
      <c r="M8" s="34"/>
      <c r="N8" s="34"/>
      <c r="O8" s="34" t="s">
        <v>171</v>
      </c>
      <c r="P8" s="41" t="s">
        <v>137</v>
      </c>
      <c r="Q8" s="38">
        <v>699.56299999999999</v>
      </c>
      <c r="R8" s="37"/>
      <c r="S8" s="37"/>
      <c r="T8" s="37"/>
      <c r="U8" s="34"/>
      <c r="V8" s="34" t="s">
        <v>138</v>
      </c>
      <c r="W8" s="34">
        <v>337.7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94.5" customHeight="1" x14ac:dyDescent="0.25">
      <c r="A9" s="35" t="s">
        <v>67</v>
      </c>
      <c r="B9" s="38">
        <f t="shared" si="0"/>
        <v>1037.2629999999999</v>
      </c>
      <c r="C9" s="37">
        <v>97</v>
      </c>
      <c r="D9" s="39">
        <f t="shared" si="1"/>
        <v>31.117889999999996</v>
      </c>
      <c r="E9" s="38">
        <f t="shared" si="2"/>
        <v>1006.1451099999999</v>
      </c>
      <c r="F9" s="34">
        <v>97</v>
      </c>
      <c r="G9" s="38">
        <f t="shared" si="3"/>
        <v>31.117889999999996</v>
      </c>
      <c r="H9" s="39"/>
      <c r="I9" s="34"/>
      <c r="J9" s="34"/>
      <c r="K9" s="34" t="s">
        <v>103</v>
      </c>
      <c r="L9" s="34"/>
      <c r="M9" s="34"/>
      <c r="N9" s="34"/>
      <c r="O9" s="34" t="s">
        <v>172</v>
      </c>
      <c r="P9" s="41" t="s">
        <v>137</v>
      </c>
      <c r="Q9" s="38">
        <v>699.56299999999999</v>
      </c>
      <c r="R9" s="37"/>
      <c r="S9" s="37"/>
      <c r="T9" s="37"/>
      <c r="U9" s="34"/>
      <c r="V9" s="34" t="s">
        <v>138</v>
      </c>
      <c r="W9" s="34">
        <v>337.7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95.25" customHeight="1" x14ac:dyDescent="0.25">
      <c r="A10" s="35" t="s">
        <v>67</v>
      </c>
      <c r="B10" s="38">
        <f t="shared" si="0"/>
        <v>525.69999999999993</v>
      </c>
      <c r="C10" s="37">
        <v>97</v>
      </c>
      <c r="D10" s="39">
        <f t="shared" si="1"/>
        <v>15.770999999999997</v>
      </c>
      <c r="E10" s="38">
        <f t="shared" si="2"/>
        <v>509.92899999999992</v>
      </c>
      <c r="F10" s="34">
        <v>97</v>
      </c>
      <c r="G10" s="38">
        <f t="shared" si="3"/>
        <v>15.770999999999997</v>
      </c>
      <c r="H10" s="39"/>
      <c r="I10" s="34"/>
      <c r="J10" s="34"/>
      <c r="K10" s="34" t="s">
        <v>105</v>
      </c>
      <c r="L10" s="34"/>
      <c r="M10" s="34"/>
      <c r="N10" s="34"/>
      <c r="O10" s="34" t="s">
        <v>170</v>
      </c>
      <c r="P10" s="41" t="s">
        <v>174</v>
      </c>
      <c r="Q10" s="38">
        <v>514.79999999999995</v>
      </c>
      <c r="R10" s="37"/>
      <c r="S10" s="37"/>
      <c r="T10" s="37"/>
      <c r="U10" s="34"/>
      <c r="V10" s="34" t="s">
        <v>139</v>
      </c>
      <c r="W10" s="34">
        <v>10.9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93" customHeight="1" x14ac:dyDescent="0.25">
      <c r="A11" s="35" t="s">
        <v>67</v>
      </c>
      <c r="B11" s="38">
        <f t="shared" si="0"/>
        <v>525.69999999999993</v>
      </c>
      <c r="C11" s="37">
        <v>97</v>
      </c>
      <c r="D11" s="39">
        <f>G11</f>
        <v>15.770999999999997</v>
      </c>
      <c r="E11" s="38">
        <f t="shared" si="2"/>
        <v>509.92899999999992</v>
      </c>
      <c r="F11" s="34">
        <v>97</v>
      </c>
      <c r="G11" s="38">
        <f t="shared" si="3"/>
        <v>15.770999999999997</v>
      </c>
      <c r="H11" s="39"/>
      <c r="I11" s="34"/>
      <c r="J11" s="34"/>
      <c r="K11" s="34" t="s">
        <v>104</v>
      </c>
      <c r="L11" s="34"/>
      <c r="M11" s="34"/>
      <c r="N11" s="34"/>
      <c r="O11" s="34" t="s">
        <v>171</v>
      </c>
      <c r="P11" s="41" t="s">
        <v>174</v>
      </c>
      <c r="Q11" s="38">
        <v>514.79999999999995</v>
      </c>
      <c r="R11" s="37"/>
      <c r="S11" s="37"/>
      <c r="T11" s="37"/>
      <c r="U11" s="34"/>
      <c r="V11" s="34" t="s">
        <v>139</v>
      </c>
      <c r="W11" s="34">
        <v>10.9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94.5" customHeight="1" x14ac:dyDescent="0.25">
      <c r="A12" s="35" t="s">
        <v>67</v>
      </c>
      <c r="B12" s="38">
        <f t="shared" si="0"/>
        <v>525.69999999999993</v>
      </c>
      <c r="C12" s="37">
        <v>97</v>
      </c>
      <c r="D12" s="39">
        <f t="shared" si="1"/>
        <v>15.770999999999997</v>
      </c>
      <c r="E12" s="38">
        <f t="shared" si="2"/>
        <v>509.92899999999992</v>
      </c>
      <c r="F12" s="34">
        <v>97</v>
      </c>
      <c r="G12" s="38">
        <f t="shared" si="3"/>
        <v>15.770999999999997</v>
      </c>
      <c r="H12" s="39"/>
      <c r="I12" s="34"/>
      <c r="J12" s="34"/>
      <c r="K12" s="34" t="s">
        <v>103</v>
      </c>
      <c r="L12" s="34"/>
      <c r="M12" s="34"/>
      <c r="N12" s="34"/>
      <c r="O12" s="34" t="s">
        <v>172</v>
      </c>
      <c r="P12" s="41" t="s">
        <v>174</v>
      </c>
      <c r="Q12" s="38">
        <v>514.79999999999995</v>
      </c>
      <c r="R12" s="37"/>
      <c r="S12" s="37"/>
      <c r="T12" s="37"/>
      <c r="U12" s="34"/>
      <c r="V12" s="34" t="s">
        <v>139</v>
      </c>
      <c r="W12" s="34">
        <v>10.9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09.5" customHeight="1" x14ac:dyDescent="0.25">
      <c r="A13" s="35" t="s">
        <v>67</v>
      </c>
      <c r="B13" s="38">
        <f t="shared" si="0"/>
        <v>117.61</v>
      </c>
      <c r="C13" s="37">
        <v>97</v>
      </c>
      <c r="D13" s="39">
        <f t="shared" si="1"/>
        <v>3.5282999999999998</v>
      </c>
      <c r="E13" s="38">
        <f t="shared" si="2"/>
        <v>114.0817</v>
      </c>
      <c r="F13" s="34">
        <v>97</v>
      </c>
      <c r="G13" s="38">
        <f t="shared" si="3"/>
        <v>3.5282999999999998</v>
      </c>
      <c r="H13" s="39"/>
      <c r="I13" s="34"/>
      <c r="J13" s="34"/>
      <c r="K13" s="34" t="s">
        <v>105</v>
      </c>
      <c r="L13" s="34"/>
      <c r="M13" s="34"/>
      <c r="N13" s="34"/>
      <c r="O13" s="34" t="s">
        <v>170</v>
      </c>
      <c r="P13" s="41" t="s">
        <v>136</v>
      </c>
      <c r="Q13" s="38">
        <v>20.6</v>
      </c>
      <c r="R13" s="37"/>
      <c r="S13" s="37"/>
      <c r="T13" s="37"/>
      <c r="U13" s="34"/>
      <c r="V13" s="34" t="s">
        <v>175</v>
      </c>
      <c r="W13" s="34">
        <v>97.01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08.75" customHeight="1" x14ac:dyDescent="0.25">
      <c r="A14" s="35" t="s">
        <v>67</v>
      </c>
      <c r="B14" s="38">
        <f t="shared" si="0"/>
        <v>117.61</v>
      </c>
      <c r="C14" s="37">
        <v>97</v>
      </c>
      <c r="D14" s="39">
        <f>G14</f>
        <v>3.5282999999999998</v>
      </c>
      <c r="E14" s="38">
        <f t="shared" si="2"/>
        <v>114.0817</v>
      </c>
      <c r="F14" s="34">
        <v>97</v>
      </c>
      <c r="G14" s="38">
        <f t="shared" si="3"/>
        <v>3.5282999999999998</v>
      </c>
      <c r="H14" s="39"/>
      <c r="I14" s="34"/>
      <c r="J14" s="34"/>
      <c r="K14" s="34" t="s">
        <v>104</v>
      </c>
      <c r="L14" s="34"/>
      <c r="M14" s="34"/>
      <c r="N14" s="34"/>
      <c r="O14" s="34" t="s">
        <v>171</v>
      </c>
      <c r="P14" s="41" t="s">
        <v>136</v>
      </c>
      <c r="Q14" s="38">
        <v>20.6</v>
      </c>
      <c r="R14" s="37"/>
      <c r="S14" s="37"/>
      <c r="T14" s="37"/>
      <c r="U14" s="34"/>
      <c r="V14" s="34" t="s">
        <v>175</v>
      </c>
      <c r="W14" s="34">
        <v>97.01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20" customHeight="1" x14ac:dyDescent="0.25">
      <c r="A15" s="35" t="s">
        <v>67</v>
      </c>
      <c r="B15" s="38">
        <f>E15+G15</f>
        <v>117.61</v>
      </c>
      <c r="C15" s="37">
        <v>97</v>
      </c>
      <c r="D15" s="39">
        <f t="shared" si="1"/>
        <v>3.5282999999999998</v>
      </c>
      <c r="E15" s="38">
        <f>Q15*F15%+W15*F15%</f>
        <v>114.0817</v>
      </c>
      <c r="F15" s="34">
        <v>97</v>
      </c>
      <c r="G15" s="38">
        <f t="shared" si="3"/>
        <v>3.5282999999999998</v>
      </c>
      <c r="H15" s="39"/>
      <c r="I15" s="34"/>
      <c r="J15" s="34"/>
      <c r="K15" s="34" t="s">
        <v>103</v>
      </c>
      <c r="L15" s="34"/>
      <c r="M15" s="34"/>
      <c r="N15" s="34"/>
      <c r="O15" s="34" t="s">
        <v>172</v>
      </c>
      <c r="P15" s="41" t="s">
        <v>136</v>
      </c>
      <c r="Q15" s="38">
        <v>20.6</v>
      </c>
      <c r="R15" s="37"/>
      <c r="S15" s="37"/>
      <c r="T15" s="37"/>
      <c r="U15" s="34"/>
      <c r="V15" s="34" t="s">
        <v>175</v>
      </c>
      <c r="W15" s="34">
        <v>97.01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08.75" customHeight="1" x14ac:dyDescent="0.25">
      <c r="A16" s="35" t="s">
        <v>67</v>
      </c>
      <c r="B16" s="38">
        <f>E16+G16</f>
        <v>41.599999999999994</v>
      </c>
      <c r="C16" s="37">
        <v>97</v>
      </c>
      <c r="D16" s="39">
        <f t="shared" si="1"/>
        <v>1.248</v>
      </c>
      <c r="E16" s="38">
        <f>Q16*F16%+W16*F16%</f>
        <v>40.351999999999997</v>
      </c>
      <c r="F16" s="34">
        <v>97</v>
      </c>
      <c r="G16" s="38">
        <f t="shared" si="3"/>
        <v>1.248</v>
      </c>
      <c r="H16" s="39"/>
      <c r="I16" s="34"/>
      <c r="J16" s="34"/>
      <c r="K16" s="34" t="s">
        <v>105</v>
      </c>
      <c r="L16" s="34"/>
      <c r="M16" s="34"/>
      <c r="N16" s="34"/>
      <c r="O16" s="34" t="s">
        <v>170</v>
      </c>
      <c r="P16" s="41" t="s">
        <v>135</v>
      </c>
      <c r="Q16" s="38">
        <v>26.6</v>
      </c>
      <c r="R16" s="37"/>
      <c r="S16" s="37"/>
      <c r="T16" s="37"/>
      <c r="U16" s="34"/>
      <c r="V16" s="34" t="s">
        <v>176</v>
      </c>
      <c r="W16" s="34">
        <v>15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11.75" customHeight="1" x14ac:dyDescent="0.25">
      <c r="A17" s="35" t="s">
        <v>67</v>
      </c>
      <c r="B17" s="38">
        <f t="shared" ref="B17:B18" si="4">E17+G17</f>
        <v>41.599999999999994</v>
      </c>
      <c r="C17" s="37">
        <v>97</v>
      </c>
      <c r="D17" s="39">
        <f t="shared" si="1"/>
        <v>1.248</v>
      </c>
      <c r="E17" s="38">
        <f t="shared" ref="E17:E18" si="5">Q17*F17%+W17*F17%</f>
        <v>40.351999999999997</v>
      </c>
      <c r="F17" s="34">
        <v>97</v>
      </c>
      <c r="G17" s="38">
        <f t="shared" si="3"/>
        <v>1.248</v>
      </c>
      <c r="H17" s="39"/>
      <c r="I17" s="34"/>
      <c r="J17" s="34"/>
      <c r="K17" s="34" t="s">
        <v>104</v>
      </c>
      <c r="L17" s="34"/>
      <c r="M17" s="34"/>
      <c r="N17" s="34"/>
      <c r="O17" s="34" t="s">
        <v>171</v>
      </c>
      <c r="P17" s="41" t="s">
        <v>135</v>
      </c>
      <c r="Q17" s="38">
        <v>26.6</v>
      </c>
      <c r="R17" s="37"/>
      <c r="S17" s="37"/>
      <c r="T17" s="37"/>
      <c r="U17" s="34"/>
      <c r="V17" s="34" t="s">
        <v>176</v>
      </c>
      <c r="W17" s="34">
        <v>15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13.25" customHeight="1" x14ac:dyDescent="0.25">
      <c r="A18" s="35" t="s">
        <v>67</v>
      </c>
      <c r="B18" s="38">
        <f t="shared" si="4"/>
        <v>41.599999999999994</v>
      </c>
      <c r="C18" s="37">
        <v>97</v>
      </c>
      <c r="D18" s="39">
        <f t="shared" si="1"/>
        <v>1.248</v>
      </c>
      <c r="E18" s="38">
        <f t="shared" si="5"/>
        <v>40.351999999999997</v>
      </c>
      <c r="F18" s="34">
        <v>97</v>
      </c>
      <c r="G18" s="38">
        <f>Q18*3%+W18*3%</f>
        <v>1.248</v>
      </c>
      <c r="H18" s="39"/>
      <c r="I18" s="34"/>
      <c r="J18" s="34"/>
      <c r="K18" s="34" t="s">
        <v>103</v>
      </c>
      <c r="L18" s="34"/>
      <c r="M18" s="34"/>
      <c r="N18" s="34"/>
      <c r="O18" s="34" t="s">
        <v>172</v>
      </c>
      <c r="P18" s="41" t="s">
        <v>135</v>
      </c>
      <c r="Q18" s="38">
        <v>26.6</v>
      </c>
      <c r="R18" s="37"/>
      <c r="S18" s="37"/>
      <c r="T18" s="37"/>
      <c r="U18" s="34"/>
      <c r="V18" s="34" t="s">
        <v>176</v>
      </c>
      <c r="W18" s="34">
        <v>15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25.25" customHeight="1" x14ac:dyDescent="0.25">
      <c r="A19" s="35" t="s">
        <v>67</v>
      </c>
      <c r="B19" s="38">
        <f t="shared" ref="B19:B50" si="6">E19+G19</f>
        <v>21.499999999999996</v>
      </c>
      <c r="C19" s="37">
        <v>97</v>
      </c>
      <c r="D19" s="39">
        <f t="shared" si="1"/>
        <v>0.64500000000000002</v>
      </c>
      <c r="E19" s="38">
        <f>Q19*F19%*5</f>
        <v>20.854999999999997</v>
      </c>
      <c r="F19" s="34">
        <v>97</v>
      </c>
      <c r="G19" s="38">
        <f>Q19*3%*5</f>
        <v>0.64500000000000002</v>
      </c>
      <c r="H19" s="39"/>
      <c r="I19" s="34"/>
      <c r="J19" s="34"/>
      <c r="K19" s="34" t="s">
        <v>105</v>
      </c>
      <c r="L19" s="34"/>
      <c r="M19" s="34"/>
      <c r="N19" s="34"/>
      <c r="O19" s="34" t="s">
        <v>170</v>
      </c>
      <c r="P19" s="41" t="s">
        <v>134</v>
      </c>
      <c r="Q19" s="38">
        <v>4.3</v>
      </c>
      <c r="R19" s="37"/>
      <c r="S19" s="37"/>
      <c r="T19" s="37"/>
      <c r="U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409.6" customHeight="1" x14ac:dyDescent="0.25">
      <c r="A20" s="35" t="s">
        <v>67</v>
      </c>
      <c r="B20" s="38">
        <f t="shared" si="6"/>
        <v>221.48999999999998</v>
      </c>
      <c r="C20" s="37">
        <v>97</v>
      </c>
      <c r="D20" s="39">
        <f t="shared" si="1"/>
        <v>6.6447000000000003</v>
      </c>
      <c r="E20" s="38">
        <f>Q20*F20%*5+W20*F20%</f>
        <v>214.84529999999998</v>
      </c>
      <c r="F20" s="34">
        <v>97</v>
      </c>
      <c r="G20" s="38">
        <f>Q20*3%*5+W20*3%</f>
        <v>6.6447000000000003</v>
      </c>
      <c r="H20" s="39"/>
      <c r="I20" s="34"/>
      <c r="J20" s="34"/>
      <c r="K20" s="34" t="s">
        <v>104</v>
      </c>
      <c r="L20" s="34"/>
      <c r="M20" s="34"/>
      <c r="N20" s="34"/>
      <c r="O20" s="34" t="s">
        <v>171</v>
      </c>
      <c r="P20" s="41" t="s">
        <v>134</v>
      </c>
      <c r="Q20" s="38">
        <v>4.3</v>
      </c>
      <c r="R20" s="37"/>
      <c r="S20" s="37"/>
      <c r="T20" s="37"/>
      <c r="U20" s="34"/>
      <c r="V20" s="34" t="s">
        <v>140</v>
      </c>
      <c r="W20" s="34">
        <v>199.99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409.6" customHeight="1" x14ac:dyDescent="0.25">
      <c r="A21" s="35" t="s">
        <v>67</v>
      </c>
      <c r="B21" s="38">
        <f t="shared" si="6"/>
        <v>221.48999999999998</v>
      </c>
      <c r="C21" s="37">
        <v>97</v>
      </c>
      <c r="D21" s="39">
        <f t="shared" si="1"/>
        <v>6.6447000000000003</v>
      </c>
      <c r="E21" s="38">
        <f>Q21*F21%*5+W21*F21%</f>
        <v>214.84529999999998</v>
      </c>
      <c r="F21" s="34">
        <v>97</v>
      </c>
      <c r="G21" s="38">
        <f>Q21*3%*5+W21*3%</f>
        <v>6.6447000000000003</v>
      </c>
      <c r="H21" s="39"/>
      <c r="I21" s="34"/>
      <c r="J21" s="34"/>
      <c r="K21" s="34" t="s">
        <v>103</v>
      </c>
      <c r="L21" s="34"/>
      <c r="M21" s="34"/>
      <c r="N21" s="34"/>
      <c r="O21" s="34" t="s">
        <v>172</v>
      </c>
      <c r="P21" s="41" t="s">
        <v>134</v>
      </c>
      <c r="Q21" s="38">
        <v>4.3</v>
      </c>
      <c r="R21" s="37"/>
      <c r="S21" s="37"/>
      <c r="T21" s="37"/>
      <c r="U21" s="34"/>
      <c r="V21" s="34" t="s">
        <v>140</v>
      </c>
      <c r="W21" s="34">
        <v>199.99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65.25" customHeight="1" x14ac:dyDescent="0.25">
      <c r="A22" s="35" t="s">
        <v>67</v>
      </c>
      <c r="B22" s="38">
        <f t="shared" si="6"/>
        <v>1</v>
      </c>
      <c r="C22" s="37">
        <v>97</v>
      </c>
      <c r="D22" s="39">
        <f t="shared" si="1"/>
        <v>0.03</v>
      </c>
      <c r="E22" s="38">
        <f t="shared" ref="E22:E33" si="7">Q22*F22%*2</f>
        <v>0.97</v>
      </c>
      <c r="F22" s="34">
        <v>97</v>
      </c>
      <c r="G22" s="38">
        <f t="shared" ref="G22:G33" si="8">Q22*3%*2</f>
        <v>0.03</v>
      </c>
      <c r="H22" s="39"/>
      <c r="I22" s="34"/>
      <c r="J22" s="34"/>
      <c r="K22" s="34" t="s">
        <v>105</v>
      </c>
      <c r="L22" s="34"/>
      <c r="M22" s="34"/>
      <c r="N22" s="34"/>
      <c r="O22" s="34" t="s">
        <v>170</v>
      </c>
      <c r="P22" s="41" t="s">
        <v>133</v>
      </c>
      <c r="Q22" s="38">
        <v>0.5</v>
      </c>
      <c r="R22" s="37"/>
      <c r="S22" s="37"/>
      <c r="T22" s="37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69.75" customHeight="1" x14ac:dyDescent="0.25">
      <c r="A23" s="35" t="s">
        <v>67</v>
      </c>
      <c r="B23" s="38">
        <f t="shared" si="6"/>
        <v>200.89999999999998</v>
      </c>
      <c r="C23" s="37">
        <v>97</v>
      </c>
      <c r="D23" s="39">
        <f t="shared" si="1"/>
        <v>6.0270000000000001</v>
      </c>
      <c r="E23" s="38">
        <f>(Q23*2+W23)*F23%</f>
        <v>194.87299999999999</v>
      </c>
      <c r="F23" s="34">
        <v>97</v>
      </c>
      <c r="G23" s="38">
        <f>(Q23*2+W23)*3%</f>
        <v>6.0270000000000001</v>
      </c>
      <c r="H23" s="39"/>
      <c r="I23" s="34"/>
      <c r="J23" s="34"/>
      <c r="K23" s="34" t="s">
        <v>104</v>
      </c>
      <c r="L23" s="34"/>
      <c r="M23" s="34"/>
      <c r="N23" s="34"/>
      <c r="O23" s="34" t="s">
        <v>171</v>
      </c>
      <c r="P23" s="41" t="s">
        <v>133</v>
      </c>
      <c r="Q23" s="38">
        <v>0.5</v>
      </c>
      <c r="R23" s="37"/>
      <c r="S23" s="37"/>
      <c r="T23" s="37"/>
      <c r="U23" s="34"/>
      <c r="V23" s="34" t="s">
        <v>177</v>
      </c>
      <c r="W23" s="34">
        <v>199.9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65.25" customHeight="1" x14ac:dyDescent="0.25">
      <c r="A24" s="35" t="s">
        <v>67</v>
      </c>
      <c r="B24" s="38">
        <f t="shared" si="6"/>
        <v>200.89999999999998</v>
      </c>
      <c r="C24" s="37">
        <v>97</v>
      </c>
      <c r="D24" s="39">
        <f t="shared" si="1"/>
        <v>6.0270000000000001</v>
      </c>
      <c r="E24" s="38">
        <f>(Q24*2+W24)*F24%</f>
        <v>194.87299999999999</v>
      </c>
      <c r="F24" s="34">
        <v>97</v>
      </c>
      <c r="G24" s="38">
        <f>(Q24*2+W24)*3%</f>
        <v>6.0270000000000001</v>
      </c>
      <c r="H24" s="39"/>
      <c r="I24" s="34"/>
      <c r="J24" s="34"/>
      <c r="K24" s="34" t="s">
        <v>103</v>
      </c>
      <c r="L24" s="34"/>
      <c r="M24" s="34"/>
      <c r="N24" s="34"/>
      <c r="O24" s="34" t="s">
        <v>172</v>
      </c>
      <c r="P24" s="41" t="s">
        <v>133</v>
      </c>
      <c r="Q24" s="38">
        <v>0.5</v>
      </c>
      <c r="R24" s="37"/>
      <c r="S24" s="37"/>
      <c r="T24" s="37"/>
      <c r="U24" s="34"/>
      <c r="V24" s="34" t="s">
        <v>177</v>
      </c>
      <c r="W24" s="34">
        <v>199.9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57" customHeight="1" x14ac:dyDescent="0.25">
      <c r="A25" s="35" t="s">
        <v>67</v>
      </c>
      <c r="B25" s="38">
        <f t="shared" si="6"/>
        <v>5.6</v>
      </c>
      <c r="C25" s="37">
        <v>97</v>
      </c>
      <c r="D25" s="39">
        <f t="shared" si="1"/>
        <v>0.16799999999999998</v>
      </c>
      <c r="E25" s="38">
        <f t="shared" si="7"/>
        <v>5.4319999999999995</v>
      </c>
      <c r="F25" s="34">
        <v>97</v>
      </c>
      <c r="G25" s="38">
        <f t="shared" si="8"/>
        <v>0.16799999999999998</v>
      </c>
      <c r="H25" s="39"/>
      <c r="I25" s="34"/>
      <c r="J25" s="34"/>
      <c r="K25" s="34" t="s">
        <v>105</v>
      </c>
      <c r="L25" s="34"/>
      <c r="M25" s="34"/>
      <c r="N25" s="34"/>
      <c r="O25" s="34" t="s">
        <v>170</v>
      </c>
      <c r="P25" s="41" t="s">
        <v>132</v>
      </c>
      <c r="Q25" s="38">
        <v>2.8</v>
      </c>
      <c r="R25" s="37"/>
      <c r="S25" s="37"/>
      <c r="T25" s="37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59.25" customHeight="1" x14ac:dyDescent="0.25">
      <c r="A26" s="35" t="s">
        <v>67</v>
      </c>
      <c r="B26" s="38">
        <f t="shared" si="6"/>
        <v>29.200000000000003</v>
      </c>
      <c r="C26" s="37">
        <v>97</v>
      </c>
      <c r="D26" s="39">
        <f t="shared" si="1"/>
        <v>0.87599999999999989</v>
      </c>
      <c r="E26" s="38">
        <f t="shared" ref="E26:E27" si="9">(Q26*2+W26)*F26%</f>
        <v>28.324000000000002</v>
      </c>
      <c r="F26" s="34">
        <v>97</v>
      </c>
      <c r="G26" s="38">
        <f>Q26*3%*2+W26*3%</f>
        <v>0.87599999999999989</v>
      </c>
      <c r="H26" s="39"/>
      <c r="I26" s="34"/>
      <c r="J26" s="34"/>
      <c r="K26" s="34" t="s">
        <v>104</v>
      </c>
      <c r="L26" s="34"/>
      <c r="M26" s="34"/>
      <c r="N26" s="34"/>
      <c r="O26" s="34" t="s">
        <v>171</v>
      </c>
      <c r="P26" s="41" t="s">
        <v>132</v>
      </c>
      <c r="Q26" s="38">
        <v>2.8</v>
      </c>
      <c r="R26" s="37"/>
      <c r="S26" s="37"/>
      <c r="T26" s="37"/>
      <c r="U26" s="34"/>
      <c r="V26" s="34" t="s">
        <v>178</v>
      </c>
      <c r="W26" s="34">
        <v>23.6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ht="55.5" customHeight="1" x14ac:dyDescent="0.25">
      <c r="A27" s="35" t="s">
        <v>67</v>
      </c>
      <c r="B27" s="38">
        <f t="shared" si="6"/>
        <v>29.200000000000003</v>
      </c>
      <c r="C27" s="37">
        <v>97</v>
      </c>
      <c r="D27" s="39">
        <f t="shared" si="1"/>
        <v>0.87599999999999989</v>
      </c>
      <c r="E27" s="38">
        <f t="shared" si="9"/>
        <v>28.324000000000002</v>
      </c>
      <c r="F27" s="34">
        <v>97</v>
      </c>
      <c r="G27" s="38">
        <f>Q27*3%*2+W27*3%</f>
        <v>0.87599999999999989</v>
      </c>
      <c r="H27" s="39"/>
      <c r="I27" s="34"/>
      <c r="J27" s="34"/>
      <c r="K27" s="34" t="s">
        <v>103</v>
      </c>
      <c r="L27" s="34"/>
      <c r="M27" s="34"/>
      <c r="N27" s="34"/>
      <c r="O27" s="34" t="s">
        <v>172</v>
      </c>
      <c r="P27" s="41" t="s">
        <v>132</v>
      </c>
      <c r="Q27" s="38">
        <v>2.8</v>
      </c>
      <c r="R27" s="37"/>
      <c r="S27" s="37"/>
      <c r="T27" s="37"/>
      <c r="U27" s="34"/>
      <c r="V27" s="34" t="s">
        <v>178</v>
      </c>
      <c r="W27" s="34">
        <v>23.6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ht="55.5" customHeight="1" x14ac:dyDescent="0.25">
      <c r="A28" s="35" t="s">
        <v>67</v>
      </c>
      <c r="B28" s="38">
        <f t="shared" si="6"/>
        <v>3.52</v>
      </c>
      <c r="C28" s="37">
        <v>97</v>
      </c>
      <c r="D28" s="39">
        <f t="shared" si="1"/>
        <v>0.1056</v>
      </c>
      <c r="E28" s="38">
        <f t="shared" si="7"/>
        <v>3.4144000000000001</v>
      </c>
      <c r="F28" s="34">
        <v>97</v>
      </c>
      <c r="G28" s="38">
        <f t="shared" si="8"/>
        <v>0.1056</v>
      </c>
      <c r="H28" s="39"/>
      <c r="I28" s="34"/>
      <c r="J28" s="34"/>
      <c r="K28" s="34" t="s">
        <v>105</v>
      </c>
      <c r="L28" s="34"/>
      <c r="M28" s="34"/>
      <c r="N28" s="34"/>
      <c r="O28" s="34" t="s">
        <v>170</v>
      </c>
      <c r="P28" s="41" t="s">
        <v>131</v>
      </c>
      <c r="Q28" s="38">
        <v>1.76</v>
      </c>
      <c r="R28" s="37"/>
      <c r="S28" s="37"/>
      <c r="T28" s="37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ht="55.5" customHeight="1" x14ac:dyDescent="0.25">
      <c r="A29" s="35" t="s">
        <v>67</v>
      </c>
      <c r="B29" s="38">
        <f t="shared" si="6"/>
        <v>3.52</v>
      </c>
      <c r="C29" s="37">
        <v>97</v>
      </c>
      <c r="D29" s="39">
        <f t="shared" si="1"/>
        <v>0.1056</v>
      </c>
      <c r="E29" s="38">
        <f t="shared" si="7"/>
        <v>3.4144000000000001</v>
      </c>
      <c r="F29" s="34">
        <v>97</v>
      </c>
      <c r="G29" s="38">
        <f t="shared" si="8"/>
        <v>0.1056</v>
      </c>
      <c r="H29" s="39"/>
      <c r="I29" s="34"/>
      <c r="J29" s="34"/>
      <c r="K29" s="34" t="s">
        <v>104</v>
      </c>
      <c r="L29" s="34"/>
      <c r="M29" s="34"/>
      <c r="N29" s="34"/>
      <c r="O29" s="34" t="s">
        <v>171</v>
      </c>
      <c r="P29" s="41" t="s">
        <v>131</v>
      </c>
      <c r="Q29" s="38">
        <v>1.76</v>
      </c>
      <c r="R29" s="37"/>
      <c r="S29" s="37"/>
      <c r="T29" s="37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ht="55.5" customHeight="1" x14ac:dyDescent="0.25">
      <c r="A30" s="35" t="s">
        <v>67</v>
      </c>
      <c r="B30" s="38">
        <f t="shared" si="6"/>
        <v>3.52</v>
      </c>
      <c r="C30" s="37">
        <v>97</v>
      </c>
      <c r="D30" s="39">
        <f t="shared" si="1"/>
        <v>0.1056</v>
      </c>
      <c r="E30" s="38">
        <f t="shared" si="7"/>
        <v>3.4144000000000001</v>
      </c>
      <c r="F30" s="34">
        <v>97</v>
      </c>
      <c r="G30" s="38">
        <f t="shared" si="8"/>
        <v>0.1056</v>
      </c>
      <c r="H30" s="39"/>
      <c r="I30" s="34"/>
      <c r="J30" s="34"/>
      <c r="K30" s="34" t="s">
        <v>103</v>
      </c>
      <c r="L30" s="34"/>
      <c r="M30" s="34"/>
      <c r="N30" s="34"/>
      <c r="O30" s="34" t="s">
        <v>172</v>
      </c>
      <c r="P30" s="41" t="s">
        <v>131</v>
      </c>
      <c r="Q30" s="38">
        <v>1.76</v>
      </c>
      <c r="R30" s="37"/>
      <c r="S30" s="37"/>
      <c r="T30" s="37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ht="51" x14ac:dyDescent="0.25">
      <c r="A31" s="35" t="s">
        <v>67</v>
      </c>
      <c r="B31" s="38">
        <f t="shared" si="6"/>
        <v>5.8999999999999995</v>
      </c>
      <c r="C31" s="37">
        <v>97</v>
      </c>
      <c r="D31" s="39">
        <f t="shared" si="1"/>
        <v>0.17699999999999999</v>
      </c>
      <c r="E31" s="38">
        <f t="shared" si="7"/>
        <v>5.7229999999999999</v>
      </c>
      <c r="F31" s="34">
        <v>97</v>
      </c>
      <c r="G31" s="38">
        <f t="shared" si="8"/>
        <v>0.17699999999999999</v>
      </c>
      <c r="H31" s="39"/>
      <c r="I31" s="34"/>
      <c r="J31" s="34"/>
      <c r="K31" s="34" t="s">
        <v>105</v>
      </c>
      <c r="L31" s="34"/>
      <c r="M31" s="34"/>
      <c r="N31" s="34"/>
      <c r="O31" s="34" t="s">
        <v>170</v>
      </c>
      <c r="P31" s="41" t="s">
        <v>130</v>
      </c>
      <c r="Q31" s="38">
        <v>2.95</v>
      </c>
      <c r="R31" s="37"/>
      <c r="S31" s="37"/>
      <c r="T31" s="37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ht="76.5" x14ac:dyDescent="0.25">
      <c r="A32" s="35" t="s">
        <v>67</v>
      </c>
      <c r="B32" s="38">
        <f t="shared" si="6"/>
        <v>5.8999999999999995</v>
      </c>
      <c r="C32" s="37">
        <v>97</v>
      </c>
      <c r="D32" s="39">
        <f t="shared" si="1"/>
        <v>0.17699999999999999</v>
      </c>
      <c r="E32" s="38">
        <f t="shared" si="7"/>
        <v>5.7229999999999999</v>
      </c>
      <c r="F32" s="34">
        <v>97</v>
      </c>
      <c r="G32" s="38">
        <f t="shared" si="8"/>
        <v>0.17699999999999999</v>
      </c>
      <c r="H32" s="39"/>
      <c r="I32" s="34"/>
      <c r="J32" s="34"/>
      <c r="K32" s="34" t="s">
        <v>104</v>
      </c>
      <c r="L32" s="34"/>
      <c r="M32" s="34"/>
      <c r="N32" s="34"/>
      <c r="O32" s="34" t="s">
        <v>171</v>
      </c>
      <c r="P32" s="41" t="s">
        <v>130</v>
      </c>
      <c r="Q32" s="38">
        <v>2.95</v>
      </c>
      <c r="R32" s="37"/>
      <c r="S32" s="37"/>
      <c r="T32" s="3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ht="51" x14ac:dyDescent="0.25">
      <c r="A33" s="35" t="s">
        <v>67</v>
      </c>
      <c r="B33" s="38">
        <f t="shared" si="6"/>
        <v>5.8999999999999995</v>
      </c>
      <c r="C33" s="37">
        <v>97</v>
      </c>
      <c r="D33" s="39">
        <f t="shared" si="1"/>
        <v>0.17699999999999999</v>
      </c>
      <c r="E33" s="38">
        <f t="shared" si="7"/>
        <v>5.7229999999999999</v>
      </c>
      <c r="F33" s="34">
        <v>97</v>
      </c>
      <c r="G33" s="38">
        <f t="shared" si="8"/>
        <v>0.17699999999999999</v>
      </c>
      <c r="H33" s="39"/>
      <c r="I33" s="34"/>
      <c r="J33" s="34"/>
      <c r="K33" s="34" t="s">
        <v>103</v>
      </c>
      <c r="L33" s="34"/>
      <c r="M33" s="34"/>
      <c r="N33" s="34"/>
      <c r="O33" s="34" t="s">
        <v>172</v>
      </c>
      <c r="P33" s="41" t="s">
        <v>130</v>
      </c>
      <c r="Q33" s="38">
        <v>2.95</v>
      </c>
      <c r="R33" s="37"/>
      <c r="S33" s="37"/>
      <c r="T33" s="37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ht="75" x14ac:dyDescent="0.25">
      <c r="A34" s="35" t="s">
        <v>67</v>
      </c>
      <c r="B34" s="38">
        <f t="shared" si="6"/>
        <v>39</v>
      </c>
      <c r="C34" s="37">
        <v>97</v>
      </c>
      <c r="D34" s="39">
        <f t="shared" si="1"/>
        <v>1.17</v>
      </c>
      <c r="E34" s="38">
        <f t="shared" ref="E34:E48" si="10">Q34*F34%*5</f>
        <v>37.83</v>
      </c>
      <c r="F34" s="34">
        <v>97</v>
      </c>
      <c r="G34" s="38">
        <f t="shared" ref="G34:G48" si="11">Q34*3%*5</f>
        <v>1.17</v>
      </c>
      <c r="H34" s="39"/>
      <c r="I34" s="34"/>
      <c r="J34" s="34"/>
      <c r="K34" s="34" t="s">
        <v>105</v>
      </c>
      <c r="L34" s="34"/>
      <c r="M34" s="34"/>
      <c r="N34" s="34"/>
      <c r="O34" s="34" t="s">
        <v>170</v>
      </c>
      <c r="P34" s="41" t="s">
        <v>129</v>
      </c>
      <c r="Q34" s="38">
        <v>7.8</v>
      </c>
      <c r="R34" s="37"/>
      <c r="S34" s="37"/>
      <c r="T34" s="37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ht="76.5" x14ac:dyDescent="0.25">
      <c r="A35" s="35" t="s">
        <v>67</v>
      </c>
      <c r="B35" s="38">
        <f t="shared" si="6"/>
        <v>39</v>
      </c>
      <c r="C35" s="37">
        <v>97</v>
      </c>
      <c r="D35" s="39">
        <f t="shared" si="1"/>
        <v>1.17</v>
      </c>
      <c r="E35" s="38">
        <f t="shared" si="10"/>
        <v>37.83</v>
      </c>
      <c r="F35" s="34">
        <v>97</v>
      </c>
      <c r="G35" s="38">
        <f t="shared" si="11"/>
        <v>1.17</v>
      </c>
      <c r="H35" s="39"/>
      <c r="I35" s="34"/>
      <c r="J35" s="34"/>
      <c r="K35" s="34" t="s">
        <v>104</v>
      </c>
      <c r="L35" s="34"/>
      <c r="M35" s="34"/>
      <c r="N35" s="34"/>
      <c r="O35" s="34" t="s">
        <v>171</v>
      </c>
      <c r="P35" s="41" t="s">
        <v>129</v>
      </c>
      <c r="Q35" s="38">
        <v>7.8</v>
      </c>
      <c r="R35" s="37"/>
      <c r="S35" s="37"/>
      <c r="T35" s="37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ht="75" x14ac:dyDescent="0.25">
      <c r="A36" s="35" t="s">
        <v>67</v>
      </c>
      <c r="B36" s="38">
        <f t="shared" si="6"/>
        <v>39</v>
      </c>
      <c r="C36" s="37">
        <v>97</v>
      </c>
      <c r="D36" s="39">
        <f t="shared" si="1"/>
        <v>1.17</v>
      </c>
      <c r="E36" s="38">
        <f t="shared" si="10"/>
        <v>37.83</v>
      </c>
      <c r="F36" s="34">
        <v>97</v>
      </c>
      <c r="G36" s="38">
        <f t="shared" si="11"/>
        <v>1.17</v>
      </c>
      <c r="H36" s="39"/>
      <c r="I36" s="34"/>
      <c r="J36" s="34"/>
      <c r="K36" s="34" t="s">
        <v>103</v>
      </c>
      <c r="L36" s="34"/>
      <c r="M36" s="34"/>
      <c r="N36" s="34"/>
      <c r="O36" s="34" t="s">
        <v>172</v>
      </c>
      <c r="P36" s="41" t="s">
        <v>129</v>
      </c>
      <c r="Q36" s="38">
        <v>7.8</v>
      </c>
      <c r="R36" s="37"/>
      <c r="S36" s="37"/>
      <c r="T36" s="37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ht="51" x14ac:dyDescent="0.25">
      <c r="A37" s="35" t="s">
        <v>67</v>
      </c>
      <c r="B37" s="38">
        <f t="shared" si="6"/>
        <v>15</v>
      </c>
      <c r="C37" s="37">
        <v>97</v>
      </c>
      <c r="D37" s="39">
        <f t="shared" si="1"/>
        <v>0.44999999999999996</v>
      </c>
      <c r="E37" s="38">
        <f t="shared" si="10"/>
        <v>14.55</v>
      </c>
      <c r="F37" s="34">
        <v>97</v>
      </c>
      <c r="G37" s="38">
        <f t="shared" si="11"/>
        <v>0.44999999999999996</v>
      </c>
      <c r="H37" s="39"/>
      <c r="I37" s="34"/>
      <c r="J37" s="34"/>
      <c r="K37" s="34" t="s">
        <v>105</v>
      </c>
      <c r="L37" s="34"/>
      <c r="M37" s="34"/>
      <c r="N37" s="34"/>
      <c r="O37" s="34" t="s">
        <v>170</v>
      </c>
      <c r="P37" s="41" t="s">
        <v>128</v>
      </c>
      <c r="Q37" s="38">
        <v>3</v>
      </c>
      <c r="R37" s="37"/>
      <c r="S37" s="37"/>
      <c r="T37" s="37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ht="76.5" x14ac:dyDescent="0.25">
      <c r="A38" s="35" t="s">
        <v>67</v>
      </c>
      <c r="B38" s="38">
        <f t="shared" si="6"/>
        <v>15</v>
      </c>
      <c r="C38" s="37">
        <v>97</v>
      </c>
      <c r="D38" s="39">
        <f t="shared" si="1"/>
        <v>0.44999999999999996</v>
      </c>
      <c r="E38" s="38">
        <f t="shared" si="10"/>
        <v>14.55</v>
      </c>
      <c r="F38" s="34">
        <v>97</v>
      </c>
      <c r="G38" s="38">
        <f t="shared" si="11"/>
        <v>0.44999999999999996</v>
      </c>
      <c r="H38" s="39"/>
      <c r="I38" s="34"/>
      <c r="J38" s="34"/>
      <c r="K38" s="34" t="s">
        <v>104</v>
      </c>
      <c r="L38" s="34"/>
      <c r="M38" s="34"/>
      <c r="N38" s="34"/>
      <c r="O38" s="34" t="s">
        <v>171</v>
      </c>
      <c r="P38" s="41" t="s">
        <v>128</v>
      </c>
      <c r="Q38" s="38">
        <v>3</v>
      </c>
      <c r="R38" s="37"/>
      <c r="S38" s="37"/>
      <c r="T38" s="37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ht="51" x14ac:dyDescent="0.25">
      <c r="A39" s="35" t="s">
        <v>67</v>
      </c>
      <c r="B39" s="38">
        <f t="shared" si="6"/>
        <v>15</v>
      </c>
      <c r="C39" s="37">
        <v>97</v>
      </c>
      <c r="D39" s="39">
        <f t="shared" si="1"/>
        <v>0.44999999999999996</v>
      </c>
      <c r="E39" s="38">
        <f t="shared" si="10"/>
        <v>14.55</v>
      </c>
      <c r="F39" s="34">
        <v>97</v>
      </c>
      <c r="G39" s="38">
        <f t="shared" si="11"/>
        <v>0.44999999999999996</v>
      </c>
      <c r="H39" s="39"/>
      <c r="I39" s="34"/>
      <c r="J39" s="34"/>
      <c r="K39" s="34" t="s">
        <v>103</v>
      </c>
      <c r="L39" s="34"/>
      <c r="M39" s="34"/>
      <c r="N39" s="34"/>
      <c r="O39" s="34" t="s">
        <v>172</v>
      </c>
      <c r="P39" s="41" t="s">
        <v>128</v>
      </c>
      <c r="Q39" s="38">
        <v>3</v>
      </c>
      <c r="R39" s="37"/>
      <c r="S39" s="37"/>
      <c r="T39" s="37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ht="51" x14ac:dyDescent="0.25">
      <c r="A40" s="35" t="s">
        <v>67</v>
      </c>
      <c r="B40" s="38">
        <f t="shared" si="6"/>
        <v>13.349999999999998</v>
      </c>
      <c r="C40" s="37">
        <v>97</v>
      </c>
      <c r="D40" s="39">
        <f t="shared" si="1"/>
        <v>0.40049999999999997</v>
      </c>
      <c r="E40" s="38">
        <f t="shared" si="10"/>
        <v>12.949499999999999</v>
      </c>
      <c r="F40" s="34">
        <v>97</v>
      </c>
      <c r="G40" s="38">
        <f t="shared" si="11"/>
        <v>0.40049999999999997</v>
      </c>
      <c r="H40" s="39"/>
      <c r="I40" s="34"/>
      <c r="J40" s="34"/>
      <c r="K40" s="34" t="s">
        <v>105</v>
      </c>
      <c r="L40" s="34"/>
      <c r="M40" s="34"/>
      <c r="N40" s="34"/>
      <c r="O40" s="34" t="s">
        <v>170</v>
      </c>
      <c r="P40" s="41" t="s">
        <v>127</v>
      </c>
      <c r="Q40" s="38">
        <v>2.67</v>
      </c>
      <c r="R40" s="37"/>
      <c r="S40" s="37"/>
      <c r="T40" s="37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ht="76.5" x14ac:dyDescent="0.25">
      <c r="A41" s="35" t="s">
        <v>67</v>
      </c>
      <c r="B41" s="38">
        <f t="shared" si="6"/>
        <v>13.349999999999998</v>
      </c>
      <c r="C41" s="37">
        <v>97</v>
      </c>
      <c r="D41" s="39">
        <f t="shared" si="1"/>
        <v>0.40049999999999997</v>
      </c>
      <c r="E41" s="38">
        <f t="shared" si="10"/>
        <v>12.949499999999999</v>
      </c>
      <c r="F41" s="34">
        <v>97</v>
      </c>
      <c r="G41" s="38">
        <f t="shared" si="11"/>
        <v>0.40049999999999997</v>
      </c>
      <c r="H41" s="39"/>
      <c r="I41" s="34"/>
      <c r="J41" s="34"/>
      <c r="K41" s="34" t="s">
        <v>104</v>
      </c>
      <c r="L41" s="34"/>
      <c r="M41" s="34"/>
      <c r="N41" s="34"/>
      <c r="O41" s="34" t="s">
        <v>171</v>
      </c>
      <c r="P41" s="41" t="s">
        <v>126</v>
      </c>
      <c r="Q41" s="38">
        <v>2.67</v>
      </c>
      <c r="R41" s="37"/>
      <c r="S41" s="37"/>
      <c r="T41" s="37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ht="60" x14ac:dyDescent="0.25">
      <c r="A42" s="35" t="s">
        <v>67</v>
      </c>
      <c r="B42" s="38">
        <f t="shared" si="6"/>
        <v>13.349999999999998</v>
      </c>
      <c r="C42" s="37">
        <v>97</v>
      </c>
      <c r="D42" s="39">
        <f t="shared" si="1"/>
        <v>0.40049999999999997</v>
      </c>
      <c r="E42" s="38">
        <f t="shared" si="10"/>
        <v>12.949499999999999</v>
      </c>
      <c r="F42" s="34">
        <v>97</v>
      </c>
      <c r="G42" s="38">
        <f t="shared" si="11"/>
        <v>0.40049999999999997</v>
      </c>
      <c r="H42" s="39"/>
      <c r="I42" s="34"/>
      <c r="J42" s="34"/>
      <c r="K42" s="34" t="s">
        <v>103</v>
      </c>
      <c r="L42" s="34"/>
      <c r="M42" s="34"/>
      <c r="N42" s="34"/>
      <c r="O42" s="34" t="s">
        <v>172</v>
      </c>
      <c r="P42" s="41" t="s">
        <v>126</v>
      </c>
      <c r="Q42" s="38">
        <v>2.67</v>
      </c>
      <c r="R42" s="37"/>
      <c r="S42" s="37"/>
      <c r="T42" s="37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ht="60" x14ac:dyDescent="0.25">
      <c r="A43" s="35" t="s">
        <v>67</v>
      </c>
      <c r="B43" s="38">
        <f t="shared" si="6"/>
        <v>17.549999999999997</v>
      </c>
      <c r="C43" s="37">
        <v>97</v>
      </c>
      <c r="D43" s="39">
        <f t="shared" si="1"/>
        <v>0.52649999999999997</v>
      </c>
      <c r="E43" s="38">
        <f t="shared" si="10"/>
        <v>17.023499999999999</v>
      </c>
      <c r="F43" s="34">
        <v>97</v>
      </c>
      <c r="G43" s="38">
        <f t="shared" si="11"/>
        <v>0.52649999999999997</v>
      </c>
      <c r="H43" s="39"/>
      <c r="I43" s="34"/>
      <c r="J43" s="34"/>
      <c r="K43" s="34" t="s">
        <v>105</v>
      </c>
      <c r="L43" s="34"/>
      <c r="M43" s="34"/>
      <c r="N43" s="34"/>
      <c r="O43" s="34" t="s">
        <v>170</v>
      </c>
      <c r="P43" s="41" t="s">
        <v>126</v>
      </c>
      <c r="Q43" s="38">
        <v>3.51</v>
      </c>
      <c r="R43" s="37"/>
      <c r="S43" s="37"/>
      <c r="T43" s="37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1:35" ht="76.5" x14ac:dyDescent="0.25">
      <c r="A44" s="35" t="s">
        <v>67</v>
      </c>
      <c r="B44" s="38">
        <f t="shared" si="6"/>
        <v>17.549999999999997</v>
      </c>
      <c r="C44" s="37">
        <v>97</v>
      </c>
      <c r="D44" s="39">
        <f t="shared" si="1"/>
        <v>0.52649999999999997</v>
      </c>
      <c r="E44" s="38">
        <f t="shared" si="10"/>
        <v>17.023499999999999</v>
      </c>
      <c r="F44" s="34">
        <v>97</v>
      </c>
      <c r="G44" s="38">
        <f t="shared" si="11"/>
        <v>0.52649999999999997</v>
      </c>
      <c r="H44" s="39"/>
      <c r="I44" s="34"/>
      <c r="J44" s="34"/>
      <c r="K44" s="34" t="s">
        <v>104</v>
      </c>
      <c r="L44" s="34"/>
      <c r="M44" s="34"/>
      <c r="N44" s="34"/>
      <c r="O44" s="34" t="s">
        <v>171</v>
      </c>
      <c r="P44" s="41" t="s">
        <v>126</v>
      </c>
      <c r="Q44" s="38">
        <v>3.51</v>
      </c>
      <c r="R44" s="37"/>
      <c r="S44" s="37"/>
      <c r="T44" s="37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1:35" ht="60" x14ac:dyDescent="0.25">
      <c r="A45" s="35" t="s">
        <v>67</v>
      </c>
      <c r="B45" s="38">
        <f t="shared" si="6"/>
        <v>17.549999999999997</v>
      </c>
      <c r="C45" s="37">
        <v>97</v>
      </c>
      <c r="D45" s="39">
        <f t="shared" si="1"/>
        <v>0.52649999999999997</v>
      </c>
      <c r="E45" s="38">
        <f t="shared" si="10"/>
        <v>17.023499999999999</v>
      </c>
      <c r="F45" s="34">
        <v>97</v>
      </c>
      <c r="G45" s="38">
        <f t="shared" si="11"/>
        <v>0.52649999999999997</v>
      </c>
      <c r="H45" s="39"/>
      <c r="I45" s="34"/>
      <c r="J45" s="34"/>
      <c r="K45" s="34" t="s">
        <v>103</v>
      </c>
      <c r="L45" s="34"/>
      <c r="M45" s="34"/>
      <c r="N45" s="34"/>
      <c r="O45" s="34" t="s">
        <v>172</v>
      </c>
      <c r="P45" s="41" t="s">
        <v>126</v>
      </c>
      <c r="Q45" s="38">
        <v>3.51</v>
      </c>
      <c r="R45" s="37"/>
      <c r="S45" s="37"/>
      <c r="T45" s="37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1:35" ht="90" x14ac:dyDescent="0.25">
      <c r="A46" s="35" t="s">
        <v>67</v>
      </c>
      <c r="B46" s="38">
        <f t="shared" si="6"/>
        <v>461.5</v>
      </c>
      <c r="C46" s="37">
        <v>97</v>
      </c>
      <c r="D46" s="39">
        <f t="shared" si="1"/>
        <v>13.844999999999999</v>
      </c>
      <c r="E46" s="38">
        <f t="shared" si="10"/>
        <v>447.65499999999997</v>
      </c>
      <c r="F46" s="34">
        <v>97</v>
      </c>
      <c r="G46" s="38">
        <f t="shared" si="11"/>
        <v>13.844999999999999</v>
      </c>
      <c r="H46" s="39"/>
      <c r="I46" s="34"/>
      <c r="J46" s="34"/>
      <c r="K46" s="34" t="s">
        <v>105</v>
      </c>
      <c r="L46" s="34"/>
      <c r="M46" s="34"/>
      <c r="N46" s="34"/>
      <c r="O46" s="34" t="s">
        <v>170</v>
      </c>
      <c r="P46" s="41" t="s">
        <v>125</v>
      </c>
      <c r="Q46" s="38">
        <v>92.3</v>
      </c>
      <c r="R46" s="37"/>
      <c r="S46" s="37"/>
      <c r="T46" s="37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1:35" ht="90" x14ac:dyDescent="0.25">
      <c r="A47" s="35" t="s">
        <v>67</v>
      </c>
      <c r="B47" s="38">
        <f t="shared" si="6"/>
        <v>461.5</v>
      </c>
      <c r="C47" s="37">
        <v>97</v>
      </c>
      <c r="D47" s="39">
        <f t="shared" si="1"/>
        <v>13.844999999999999</v>
      </c>
      <c r="E47" s="38">
        <f t="shared" si="10"/>
        <v>447.65499999999997</v>
      </c>
      <c r="F47" s="34">
        <v>97</v>
      </c>
      <c r="G47" s="38">
        <f t="shared" si="11"/>
        <v>13.844999999999999</v>
      </c>
      <c r="H47" s="39"/>
      <c r="I47" s="34"/>
      <c r="J47" s="34"/>
      <c r="K47" s="34" t="s">
        <v>104</v>
      </c>
      <c r="L47" s="34"/>
      <c r="M47" s="34"/>
      <c r="N47" s="34"/>
      <c r="O47" s="34" t="s">
        <v>171</v>
      </c>
      <c r="P47" s="41" t="s">
        <v>125</v>
      </c>
      <c r="Q47" s="38">
        <v>92.3</v>
      </c>
      <c r="R47" s="37"/>
      <c r="S47" s="37"/>
      <c r="T47" s="37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</row>
    <row r="48" spans="1:35" ht="90" x14ac:dyDescent="0.25">
      <c r="A48" s="35" t="s">
        <v>67</v>
      </c>
      <c r="B48" s="38">
        <f t="shared" si="6"/>
        <v>461.5</v>
      </c>
      <c r="C48" s="37">
        <v>97</v>
      </c>
      <c r="D48" s="39">
        <f t="shared" si="1"/>
        <v>13.844999999999999</v>
      </c>
      <c r="E48" s="38">
        <f t="shared" si="10"/>
        <v>447.65499999999997</v>
      </c>
      <c r="F48" s="34">
        <v>97</v>
      </c>
      <c r="G48" s="38">
        <f t="shared" si="11"/>
        <v>13.844999999999999</v>
      </c>
      <c r="H48" s="39"/>
      <c r="I48" s="34"/>
      <c r="J48" s="34"/>
      <c r="K48" s="34" t="s">
        <v>103</v>
      </c>
      <c r="L48" s="34"/>
      <c r="M48" s="34"/>
      <c r="N48" s="34"/>
      <c r="O48" s="34" t="s">
        <v>172</v>
      </c>
      <c r="P48" s="41" t="s">
        <v>125</v>
      </c>
      <c r="Q48" s="38">
        <v>92.3</v>
      </c>
      <c r="R48" s="37"/>
      <c r="S48" s="37"/>
      <c r="T48" s="37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1:35" ht="51" x14ac:dyDescent="0.25">
      <c r="A49" s="35" t="s">
        <v>67</v>
      </c>
      <c r="B49" s="38">
        <f t="shared" si="6"/>
        <v>1.6</v>
      </c>
      <c r="C49" s="37">
        <v>97</v>
      </c>
      <c r="D49" s="39">
        <f t="shared" si="1"/>
        <v>4.8000000000000001E-2</v>
      </c>
      <c r="E49" s="38">
        <f t="shared" ref="E49:E63" si="12">Q49*F49%</f>
        <v>1.552</v>
      </c>
      <c r="F49" s="34">
        <v>97</v>
      </c>
      <c r="G49" s="38">
        <f t="shared" ref="G49:G63" si="13">Q49*3%</f>
        <v>4.8000000000000001E-2</v>
      </c>
      <c r="H49" s="39"/>
      <c r="I49" s="34"/>
      <c r="J49" s="34"/>
      <c r="K49" s="34" t="s">
        <v>105</v>
      </c>
      <c r="L49" s="34"/>
      <c r="M49" s="34"/>
      <c r="N49" s="34"/>
      <c r="O49" s="34" t="s">
        <v>170</v>
      </c>
      <c r="P49" s="41" t="s">
        <v>124</v>
      </c>
      <c r="Q49" s="38">
        <v>1.6</v>
      </c>
      <c r="R49" s="37"/>
      <c r="S49" s="37"/>
      <c r="T49" s="37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1:35" ht="76.5" x14ac:dyDescent="0.25">
      <c r="A50" s="35" t="s">
        <v>67</v>
      </c>
      <c r="B50" s="38">
        <f t="shared" si="6"/>
        <v>1.6</v>
      </c>
      <c r="C50" s="37">
        <v>97</v>
      </c>
      <c r="D50" s="39">
        <f t="shared" si="1"/>
        <v>4.8000000000000001E-2</v>
      </c>
      <c r="E50" s="38">
        <f t="shared" si="12"/>
        <v>1.552</v>
      </c>
      <c r="F50" s="34">
        <v>97</v>
      </c>
      <c r="G50" s="38">
        <f t="shared" si="13"/>
        <v>4.8000000000000001E-2</v>
      </c>
      <c r="H50" s="39"/>
      <c r="I50" s="34"/>
      <c r="J50" s="34"/>
      <c r="K50" s="34" t="s">
        <v>104</v>
      </c>
      <c r="L50" s="34"/>
      <c r="M50" s="34"/>
      <c r="N50" s="34"/>
      <c r="O50" s="34" t="s">
        <v>171</v>
      </c>
      <c r="P50" s="41" t="s">
        <v>124</v>
      </c>
      <c r="Q50" s="38">
        <v>1.6</v>
      </c>
      <c r="R50" s="37"/>
      <c r="S50" s="37"/>
      <c r="T50" s="37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1:35" ht="51" x14ac:dyDescent="0.25">
      <c r="A51" s="35" t="s">
        <v>67</v>
      </c>
      <c r="B51" s="38">
        <f t="shared" ref="B51:B82" si="14">E51+G51</f>
        <v>1.6</v>
      </c>
      <c r="C51" s="37">
        <v>97</v>
      </c>
      <c r="D51" s="39">
        <f t="shared" si="1"/>
        <v>4.8000000000000001E-2</v>
      </c>
      <c r="E51" s="38">
        <f t="shared" si="12"/>
        <v>1.552</v>
      </c>
      <c r="F51" s="34">
        <v>97</v>
      </c>
      <c r="G51" s="38">
        <f t="shared" si="13"/>
        <v>4.8000000000000001E-2</v>
      </c>
      <c r="H51" s="39"/>
      <c r="I51" s="34"/>
      <c r="J51" s="34"/>
      <c r="K51" s="34" t="s">
        <v>103</v>
      </c>
      <c r="L51" s="34"/>
      <c r="M51" s="34"/>
      <c r="N51" s="34"/>
      <c r="O51" s="34" t="s">
        <v>172</v>
      </c>
      <c r="P51" s="41" t="s">
        <v>124</v>
      </c>
      <c r="Q51" s="38">
        <v>1.6</v>
      </c>
      <c r="R51" s="37"/>
      <c r="S51" s="37"/>
      <c r="T51" s="37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1:35" ht="51" x14ac:dyDescent="0.25">
      <c r="A52" s="35" t="s">
        <v>67</v>
      </c>
      <c r="B52" s="38">
        <f t="shared" si="14"/>
        <v>1.6</v>
      </c>
      <c r="C52" s="37">
        <v>97</v>
      </c>
      <c r="D52" s="39">
        <f t="shared" si="1"/>
        <v>4.8000000000000001E-2</v>
      </c>
      <c r="E52" s="38">
        <f t="shared" si="12"/>
        <v>1.552</v>
      </c>
      <c r="F52" s="34">
        <v>97</v>
      </c>
      <c r="G52" s="38">
        <f t="shared" si="13"/>
        <v>4.8000000000000001E-2</v>
      </c>
      <c r="H52" s="39"/>
      <c r="I52" s="34"/>
      <c r="J52" s="34"/>
      <c r="K52" s="34" t="s">
        <v>105</v>
      </c>
      <c r="L52" s="34"/>
      <c r="M52" s="34"/>
      <c r="N52" s="34"/>
      <c r="O52" s="34" t="s">
        <v>170</v>
      </c>
      <c r="P52" s="41" t="s">
        <v>123</v>
      </c>
      <c r="Q52" s="38">
        <v>1.6</v>
      </c>
      <c r="R52" s="37"/>
      <c r="S52" s="37"/>
      <c r="T52" s="37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 ht="76.5" x14ac:dyDescent="0.25">
      <c r="A53" s="35" t="s">
        <v>67</v>
      </c>
      <c r="B53" s="38">
        <f t="shared" si="14"/>
        <v>1.6</v>
      </c>
      <c r="C53" s="37">
        <v>97</v>
      </c>
      <c r="D53" s="39">
        <f t="shared" si="1"/>
        <v>4.8000000000000001E-2</v>
      </c>
      <c r="E53" s="38">
        <f t="shared" si="12"/>
        <v>1.552</v>
      </c>
      <c r="F53" s="34">
        <v>97</v>
      </c>
      <c r="G53" s="38">
        <f t="shared" si="13"/>
        <v>4.8000000000000001E-2</v>
      </c>
      <c r="H53" s="39"/>
      <c r="I53" s="34"/>
      <c r="J53" s="34"/>
      <c r="K53" s="34" t="s">
        <v>104</v>
      </c>
      <c r="L53" s="34"/>
      <c r="M53" s="34"/>
      <c r="N53" s="34"/>
      <c r="O53" s="34" t="s">
        <v>171</v>
      </c>
      <c r="P53" s="41" t="s">
        <v>123</v>
      </c>
      <c r="Q53" s="38">
        <v>1.6</v>
      </c>
      <c r="R53" s="37"/>
      <c r="S53" s="37"/>
      <c r="T53" s="37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</row>
    <row r="54" spans="1:35" ht="51" x14ac:dyDescent="0.25">
      <c r="A54" s="35" t="s">
        <v>67</v>
      </c>
      <c r="B54" s="38">
        <f t="shared" si="14"/>
        <v>1.6</v>
      </c>
      <c r="C54" s="37">
        <v>97</v>
      </c>
      <c r="D54" s="39">
        <f t="shared" si="1"/>
        <v>4.8000000000000001E-2</v>
      </c>
      <c r="E54" s="38">
        <f t="shared" si="12"/>
        <v>1.552</v>
      </c>
      <c r="F54" s="34">
        <v>97</v>
      </c>
      <c r="G54" s="38">
        <f t="shared" si="13"/>
        <v>4.8000000000000001E-2</v>
      </c>
      <c r="H54" s="39"/>
      <c r="I54" s="34"/>
      <c r="J54" s="34"/>
      <c r="K54" s="34" t="s">
        <v>103</v>
      </c>
      <c r="L54" s="34"/>
      <c r="M54" s="34"/>
      <c r="N54" s="34"/>
      <c r="O54" s="34" t="s">
        <v>172</v>
      </c>
      <c r="P54" s="41" t="s">
        <v>123</v>
      </c>
      <c r="Q54" s="38">
        <v>1.6</v>
      </c>
      <c r="R54" s="37"/>
      <c r="S54" s="37"/>
      <c r="T54" s="37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</row>
    <row r="55" spans="1:35" ht="51" x14ac:dyDescent="0.25">
      <c r="A55" s="35" t="s">
        <v>67</v>
      </c>
      <c r="B55" s="38">
        <f t="shared" si="14"/>
        <v>1.6</v>
      </c>
      <c r="C55" s="37">
        <v>97</v>
      </c>
      <c r="D55" s="39">
        <f t="shared" si="1"/>
        <v>4.8000000000000001E-2</v>
      </c>
      <c r="E55" s="38">
        <f t="shared" si="12"/>
        <v>1.552</v>
      </c>
      <c r="F55" s="34">
        <v>97</v>
      </c>
      <c r="G55" s="38">
        <f t="shared" si="13"/>
        <v>4.8000000000000001E-2</v>
      </c>
      <c r="H55" s="39"/>
      <c r="I55" s="34"/>
      <c r="J55" s="34"/>
      <c r="K55" s="34" t="s">
        <v>105</v>
      </c>
      <c r="L55" s="34"/>
      <c r="M55" s="34"/>
      <c r="N55" s="34"/>
      <c r="O55" s="34" t="s">
        <v>170</v>
      </c>
      <c r="P55" s="41" t="s">
        <v>122</v>
      </c>
      <c r="Q55" s="38">
        <v>1.6</v>
      </c>
      <c r="R55" s="37"/>
      <c r="S55" s="37"/>
      <c r="T55" s="37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</row>
    <row r="56" spans="1:35" ht="76.5" x14ac:dyDescent="0.25">
      <c r="A56" s="35" t="s">
        <v>67</v>
      </c>
      <c r="B56" s="38">
        <f t="shared" si="14"/>
        <v>1.6</v>
      </c>
      <c r="C56" s="37">
        <v>97</v>
      </c>
      <c r="D56" s="39">
        <f t="shared" si="1"/>
        <v>4.8000000000000001E-2</v>
      </c>
      <c r="E56" s="38">
        <f t="shared" si="12"/>
        <v>1.552</v>
      </c>
      <c r="F56" s="34">
        <v>97</v>
      </c>
      <c r="G56" s="38">
        <f t="shared" si="13"/>
        <v>4.8000000000000001E-2</v>
      </c>
      <c r="H56" s="39"/>
      <c r="I56" s="34"/>
      <c r="J56" s="34"/>
      <c r="K56" s="34" t="s">
        <v>104</v>
      </c>
      <c r="L56" s="34"/>
      <c r="M56" s="34"/>
      <c r="N56" s="34"/>
      <c r="O56" s="34" t="s">
        <v>171</v>
      </c>
      <c r="P56" s="41" t="s">
        <v>122</v>
      </c>
      <c r="Q56" s="38">
        <v>1.6</v>
      </c>
      <c r="R56" s="37"/>
      <c r="S56" s="37"/>
      <c r="T56" s="37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</row>
    <row r="57" spans="1:35" ht="51" x14ac:dyDescent="0.25">
      <c r="A57" s="35" t="s">
        <v>67</v>
      </c>
      <c r="B57" s="38">
        <f t="shared" si="14"/>
        <v>1.6</v>
      </c>
      <c r="C57" s="37">
        <v>97</v>
      </c>
      <c r="D57" s="39">
        <f t="shared" si="1"/>
        <v>4.8000000000000001E-2</v>
      </c>
      <c r="E57" s="38">
        <f t="shared" si="12"/>
        <v>1.552</v>
      </c>
      <c r="F57" s="34">
        <v>97</v>
      </c>
      <c r="G57" s="38">
        <f t="shared" si="13"/>
        <v>4.8000000000000001E-2</v>
      </c>
      <c r="H57" s="39"/>
      <c r="I57" s="34"/>
      <c r="J57" s="34"/>
      <c r="K57" s="34" t="s">
        <v>103</v>
      </c>
      <c r="L57" s="34"/>
      <c r="M57" s="34"/>
      <c r="N57" s="34"/>
      <c r="O57" s="34" t="s">
        <v>172</v>
      </c>
      <c r="P57" s="41" t="s">
        <v>122</v>
      </c>
      <c r="Q57" s="38">
        <v>1.6</v>
      </c>
      <c r="R57" s="37"/>
      <c r="S57" s="37"/>
      <c r="T57" s="37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1:35" ht="51" x14ac:dyDescent="0.25">
      <c r="A58" s="35" t="s">
        <v>67</v>
      </c>
      <c r="B58" s="38">
        <f t="shared" si="14"/>
        <v>2.8</v>
      </c>
      <c r="C58" s="37">
        <v>97</v>
      </c>
      <c r="D58" s="39">
        <f t="shared" si="1"/>
        <v>8.3999999999999991E-2</v>
      </c>
      <c r="E58" s="38">
        <f t="shared" si="12"/>
        <v>2.7159999999999997</v>
      </c>
      <c r="F58" s="34">
        <v>97</v>
      </c>
      <c r="G58" s="38">
        <f t="shared" si="13"/>
        <v>8.3999999999999991E-2</v>
      </c>
      <c r="H58" s="39"/>
      <c r="I58" s="34"/>
      <c r="J58" s="34"/>
      <c r="K58" s="34" t="s">
        <v>105</v>
      </c>
      <c r="L58" s="34"/>
      <c r="M58" s="34"/>
      <c r="N58" s="34"/>
      <c r="O58" s="34" t="s">
        <v>170</v>
      </c>
      <c r="P58" s="41" t="s">
        <v>121</v>
      </c>
      <c r="Q58" s="38">
        <v>2.8</v>
      </c>
      <c r="R58" s="37"/>
      <c r="S58" s="37"/>
      <c r="T58" s="37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</row>
    <row r="59" spans="1:35" ht="76.5" x14ac:dyDescent="0.25">
      <c r="A59" s="35" t="s">
        <v>67</v>
      </c>
      <c r="B59" s="38">
        <f t="shared" si="14"/>
        <v>2.8</v>
      </c>
      <c r="C59" s="37">
        <v>97</v>
      </c>
      <c r="D59" s="39">
        <f t="shared" si="1"/>
        <v>8.3999999999999991E-2</v>
      </c>
      <c r="E59" s="38">
        <f t="shared" si="12"/>
        <v>2.7159999999999997</v>
      </c>
      <c r="F59" s="34">
        <v>97</v>
      </c>
      <c r="G59" s="38">
        <f t="shared" si="13"/>
        <v>8.3999999999999991E-2</v>
      </c>
      <c r="H59" s="39"/>
      <c r="I59" s="34"/>
      <c r="J59" s="34"/>
      <c r="K59" s="34" t="s">
        <v>104</v>
      </c>
      <c r="L59" s="34"/>
      <c r="M59" s="34"/>
      <c r="N59" s="34"/>
      <c r="O59" s="34" t="s">
        <v>171</v>
      </c>
      <c r="P59" s="41" t="s">
        <v>121</v>
      </c>
      <c r="Q59" s="38">
        <v>2.8</v>
      </c>
      <c r="R59" s="37"/>
      <c r="S59" s="37"/>
      <c r="T59" s="37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</row>
    <row r="60" spans="1:35" ht="51" x14ac:dyDescent="0.25">
      <c r="A60" s="35" t="s">
        <v>67</v>
      </c>
      <c r="B60" s="38">
        <f t="shared" si="14"/>
        <v>2.8</v>
      </c>
      <c r="C60" s="37">
        <v>97</v>
      </c>
      <c r="D60" s="39">
        <f t="shared" si="1"/>
        <v>8.3999999999999991E-2</v>
      </c>
      <c r="E60" s="38">
        <f t="shared" si="12"/>
        <v>2.7159999999999997</v>
      </c>
      <c r="F60" s="34">
        <v>97</v>
      </c>
      <c r="G60" s="38">
        <f t="shared" si="13"/>
        <v>8.3999999999999991E-2</v>
      </c>
      <c r="H60" s="39"/>
      <c r="I60" s="34"/>
      <c r="J60" s="34"/>
      <c r="K60" s="34" t="s">
        <v>103</v>
      </c>
      <c r="L60" s="34"/>
      <c r="M60" s="34"/>
      <c r="N60" s="34"/>
      <c r="O60" s="34" t="s">
        <v>172</v>
      </c>
      <c r="P60" s="41" t="s">
        <v>121</v>
      </c>
      <c r="Q60" s="38">
        <v>2.8</v>
      </c>
      <c r="R60" s="37"/>
      <c r="S60" s="37"/>
      <c r="T60" s="37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</row>
    <row r="61" spans="1:35" ht="60" x14ac:dyDescent="0.25">
      <c r="A61" s="35" t="s">
        <v>67</v>
      </c>
      <c r="B61" s="38">
        <f t="shared" si="14"/>
        <v>11.899999999999999</v>
      </c>
      <c r="C61" s="37">
        <v>97</v>
      </c>
      <c r="D61" s="39">
        <f t="shared" si="1"/>
        <v>0.35699999999999998</v>
      </c>
      <c r="E61" s="38">
        <f t="shared" si="12"/>
        <v>11.542999999999999</v>
      </c>
      <c r="F61" s="34">
        <v>97</v>
      </c>
      <c r="G61" s="38">
        <f t="shared" si="13"/>
        <v>0.35699999999999998</v>
      </c>
      <c r="H61" s="39"/>
      <c r="I61" s="34"/>
      <c r="J61" s="34"/>
      <c r="K61" s="34" t="s">
        <v>105</v>
      </c>
      <c r="L61" s="34"/>
      <c r="M61" s="34"/>
      <c r="N61" s="34"/>
      <c r="O61" s="34" t="s">
        <v>170</v>
      </c>
      <c r="P61" s="41" t="s">
        <v>120</v>
      </c>
      <c r="Q61" s="38">
        <v>11.9</v>
      </c>
      <c r="R61" s="37"/>
      <c r="S61" s="37"/>
      <c r="T61" s="37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</row>
    <row r="62" spans="1:35" ht="76.5" x14ac:dyDescent="0.25">
      <c r="A62" s="35" t="s">
        <v>67</v>
      </c>
      <c r="B62" s="38">
        <f t="shared" si="14"/>
        <v>11.899999999999999</v>
      </c>
      <c r="C62" s="37">
        <v>97</v>
      </c>
      <c r="D62" s="39">
        <f t="shared" si="1"/>
        <v>0.35699999999999998</v>
      </c>
      <c r="E62" s="38">
        <f t="shared" si="12"/>
        <v>11.542999999999999</v>
      </c>
      <c r="F62" s="34">
        <v>97</v>
      </c>
      <c r="G62" s="38">
        <f t="shared" si="13"/>
        <v>0.35699999999999998</v>
      </c>
      <c r="H62" s="39"/>
      <c r="I62" s="34"/>
      <c r="J62" s="34"/>
      <c r="K62" s="34" t="s">
        <v>104</v>
      </c>
      <c r="L62" s="34"/>
      <c r="M62" s="34"/>
      <c r="N62" s="34"/>
      <c r="O62" s="34" t="s">
        <v>171</v>
      </c>
      <c r="P62" s="41" t="s">
        <v>120</v>
      </c>
      <c r="Q62" s="38">
        <v>11.9</v>
      </c>
      <c r="R62" s="37"/>
      <c r="S62" s="37"/>
      <c r="T62" s="37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</row>
    <row r="63" spans="1:35" ht="60" x14ac:dyDescent="0.25">
      <c r="A63" s="35" t="s">
        <v>67</v>
      </c>
      <c r="B63" s="38">
        <f t="shared" si="14"/>
        <v>11.899999999999999</v>
      </c>
      <c r="C63" s="37">
        <v>97</v>
      </c>
      <c r="D63" s="39">
        <f t="shared" si="1"/>
        <v>0.35699999999999998</v>
      </c>
      <c r="E63" s="38">
        <f t="shared" si="12"/>
        <v>11.542999999999999</v>
      </c>
      <c r="F63" s="34">
        <v>97</v>
      </c>
      <c r="G63" s="38">
        <f t="shared" si="13"/>
        <v>0.35699999999999998</v>
      </c>
      <c r="H63" s="39"/>
      <c r="I63" s="34"/>
      <c r="J63" s="34"/>
      <c r="K63" s="34" t="s">
        <v>103</v>
      </c>
      <c r="L63" s="34"/>
      <c r="M63" s="34"/>
      <c r="N63" s="34"/>
      <c r="O63" s="34" t="s">
        <v>172</v>
      </c>
      <c r="P63" s="41" t="s">
        <v>120</v>
      </c>
      <c r="Q63" s="38">
        <v>11.9</v>
      </c>
      <c r="R63" s="37"/>
      <c r="S63" s="37"/>
      <c r="T63" s="37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1:35" ht="51" x14ac:dyDescent="0.25">
      <c r="A64" s="35" t="s">
        <v>67</v>
      </c>
      <c r="B64" s="38">
        <f t="shared" si="14"/>
        <v>28.68</v>
      </c>
      <c r="C64" s="37">
        <v>97</v>
      </c>
      <c r="D64" s="39">
        <f t="shared" si="1"/>
        <v>0.86040000000000005</v>
      </c>
      <c r="E64" s="38">
        <f>Q64*F64%*3</f>
        <v>27.819600000000001</v>
      </c>
      <c r="F64" s="34">
        <v>97</v>
      </c>
      <c r="G64" s="38">
        <f>Q64*3%*3</f>
        <v>0.86040000000000005</v>
      </c>
      <c r="H64" s="39"/>
      <c r="I64" s="34"/>
      <c r="J64" s="34"/>
      <c r="K64" s="34" t="s">
        <v>105</v>
      </c>
      <c r="L64" s="34"/>
      <c r="M64" s="34"/>
      <c r="N64" s="34"/>
      <c r="O64" s="34" t="s">
        <v>170</v>
      </c>
      <c r="P64" s="41" t="s">
        <v>116</v>
      </c>
      <c r="Q64" s="38">
        <v>9.56</v>
      </c>
      <c r="R64" s="37"/>
      <c r="S64" s="37"/>
      <c r="T64" s="37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</row>
    <row r="65" spans="1:35" ht="76.5" x14ac:dyDescent="0.25">
      <c r="A65" s="35" t="s">
        <v>67</v>
      </c>
      <c r="B65" s="38">
        <f t="shared" si="14"/>
        <v>28.68</v>
      </c>
      <c r="C65" s="37">
        <v>97</v>
      </c>
      <c r="D65" s="39">
        <f t="shared" si="1"/>
        <v>0.86040000000000005</v>
      </c>
      <c r="E65" s="38">
        <f>Q65*F65%*3</f>
        <v>27.819600000000001</v>
      </c>
      <c r="F65" s="34">
        <v>97</v>
      </c>
      <c r="G65" s="38">
        <f>Q65*3%*3</f>
        <v>0.86040000000000005</v>
      </c>
      <c r="H65" s="39"/>
      <c r="I65" s="34"/>
      <c r="J65" s="34"/>
      <c r="K65" s="34" t="s">
        <v>104</v>
      </c>
      <c r="L65" s="34"/>
      <c r="M65" s="34"/>
      <c r="N65" s="34"/>
      <c r="O65" s="34" t="s">
        <v>171</v>
      </c>
      <c r="P65" s="41" t="s">
        <v>116</v>
      </c>
      <c r="Q65" s="38">
        <v>9.56</v>
      </c>
      <c r="R65" s="37"/>
      <c r="S65" s="37"/>
      <c r="T65" s="37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</row>
    <row r="66" spans="1:35" ht="51" x14ac:dyDescent="0.25">
      <c r="A66" s="35" t="s">
        <v>67</v>
      </c>
      <c r="B66" s="38">
        <f t="shared" si="14"/>
        <v>28.68</v>
      </c>
      <c r="C66" s="37">
        <v>97</v>
      </c>
      <c r="D66" s="39">
        <f t="shared" si="1"/>
        <v>0.86040000000000005</v>
      </c>
      <c r="E66" s="38">
        <f>Q66*F66%*3</f>
        <v>27.819600000000001</v>
      </c>
      <c r="F66" s="34">
        <v>97</v>
      </c>
      <c r="G66" s="38">
        <f>Q66*3%*3</f>
        <v>0.86040000000000005</v>
      </c>
      <c r="H66" s="39"/>
      <c r="I66" s="34"/>
      <c r="J66" s="34"/>
      <c r="K66" s="34" t="s">
        <v>103</v>
      </c>
      <c r="L66" s="34"/>
      <c r="M66" s="34"/>
      <c r="N66" s="34"/>
      <c r="O66" s="34" t="s">
        <v>172</v>
      </c>
      <c r="P66" s="41" t="s">
        <v>116</v>
      </c>
      <c r="Q66" s="38">
        <v>9.56</v>
      </c>
      <c r="R66" s="37"/>
      <c r="S66" s="37"/>
      <c r="T66" s="37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</row>
    <row r="67" spans="1:35" ht="51" x14ac:dyDescent="0.25">
      <c r="A67" s="35" t="s">
        <v>67</v>
      </c>
      <c r="B67" s="38">
        <f t="shared" si="14"/>
        <v>3.6</v>
      </c>
      <c r="C67" s="37">
        <v>97</v>
      </c>
      <c r="D67" s="39">
        <f t="shared" si="1"/>
        <v>0.108</v>
      </c>
      <c r="E67" s="38">
        <f t="shared" ref="E67:E75" si="15">Q67*F67%</f>
        <v>3.492</v>
      </c>
      <c r="F67" s="34">
        <v>97</v>
      </c>
      <c r="G67" s="38">
        <f t="shared" ref="G67:G75" si="16">Q67*3%</f>
        <v>0.108</v>
      </c>
      <c r="H67" s="39"/>
      <c r="I67" s="34"/>
      <c r="J67" s="34"/>
      <c r="K67" s="34" t="s">
        <v>105</v>
      </c>
      <c r="L67" s="34"/>
      <c r="M67" s="34"/>
      <c r="N67" s="34"/>
      <c r="O67" s="34" t="s">
        <v>170</v>
      </c>
      <c r="P67" s="41" t="s">
        <v>117</v>
      </c>
      <c r="Q67" s="38">
        <v>3.6</v>
      </c>
      <c r="R67" s="37"/>
      <c r="S67" s="37"/>
      <c r="T67" s="37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</row>
    <row r="68" spans="1:35" ht="76.5" x14ac:dyDescent="0.25">
      <c r="A68" s="35" t="s">
        <v>67</v>
      </c>
      <c r="B68" s="38">
        <f t="shared" si="14"/>
        <v>3.6</v>
      </c>
      <c r="C68" s="37">
        <v>97</v>
      </c>
      <c r="D68" s="39">
        <f t="shared" si="1"/>
        <v>0.108</v>
      </c>
      <c r="E68" s="38">
        <f t="shared" si="15"/>
        <v>3.492</v>
      </c>
      <c r="F68" s="34">
        <v>97</v>
      </c>
      <c r="G68" s="38">
        <f t="shared" si="16"/>
        <v>0.108</v>
      </c>
      <c r="H68" s="39"/>
      <c r="I68" s="34"/>
      <c r="J68" s="34"/>
      <c r="K68" s="34" t="s">
        <v>104</v>
      </c>
      <c r="L68" s="34"/>
      <c r="M68" s="34"/>
      <c r="N68" s="34"/>
      <c r="O68" s="34" t="s">
        <v>171</v>
      </c>
      <c r="P68" s="41" t="s">
        <v>117</v>
      </c>
      <c r="Q68" s="38">
        <v>3.6</v>
      </c>
      <c r="R68" s="37"/>
      <c r="S68" s="37"/>
      <c r="T68" s="37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</row>
    <row r="69" spans="1:35" ht="51" x14ac:dyDescent="0.25">
      <c r="A69" s="35" t="s">
        <v>67</v>
      </c>
      <c r="B69" s="38">
        <f t="shared" si="14"/>
        <v>3.6</v>
      </c>
      <c r="C69" s="37">
        <v>97</v>
      </c>
      <c r="D69" s="39">
        <f t="shared" si="1"/>
        <v>0.108</v>
      </c>
      <c r="E69" s="38">
        <f t="shared" si="15"/>
        <v>3.492</v>
      </c>
      <c r="F69" s="34">
        <v>97</v>
      </c>
      <c r="G69" s="38">
        <f t="shared" si="16"/>
        <v>0.108</v>
      </c>
      <c r="H69" s="39"/>
      <c r="I69" s="34"/>
      <c r="J69" s="34"/>
      <c r="K69" s="34" t="s">
        <v>103</v>
      </c>
      <c r="L69" s="34"/>
      <c r="M69" s="34"/>
      <c r="N69" s="34"/>
      <c r="O69" s="34" t="s">
        <v>172</v>
      </c>
      <c r="P69" s="41" t="s">
        <v>117</v>
      </c>
      <c r="Q69" s="38">
        <v>3.6</v>
      </c>
      <c r="R69" s="37"/>
      <c r="S69" s="37"/>
      <c r="T69" s="37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</row>
    <row r="70" spans="1:35" ht="51" x14ac:dyDescent="0.25">
      <c r="A70" s="35" t="s">
        <v>67</v>
      </c>
      <c r="B70" s="38">
        <f t="shared" si="14"/>
        <v>0.6</v>
      </c>
      <c r="C70" s="37">
        <v>97</v>
      </c>
      <c r="D70" s="39">
        <f t="shared" si="1"/>
        <v>1.7999999999999999E-2</v>
      </c>
      <c r="E70" s="38">
        <f t="shared" si="15"/>
        <v>0.58199999999999996</v>
      </c>
      <c r="F70" s="34">
        <v>97</v>
      </c>
      <c r="G70" s="38">
        <f t="shared" si="16"/>
        <v>1.7999999999999999E-2</v>
      </c>
      <c r="H70" s="39"/>
      <c r="I70" s="34"/>
      <c r="J70" s="34"/>
      <c r="K70" s="34" t="s">
        <v>105</v>
      </c>
      <c r="L70" s="34"/>
      <c r="M70" s="34"/>
      <c r="N70" s="34"/>
      <c r="O70" s="34" t="s">
        <v>170</v>
      </c>
      <c r="P70" s="41" t="s">
        <v>118</v>
      </c>
      <c r="Q70" s="38">
        <v>0.6</v>
      </c>
      <c r="R70" s="37"/>
      <c r="S70" s="37"/>
      <c r="T70" s="37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</row>
    <row r="71" spans="1:35" ht="76.5" x14ac:dyDescent="0.25">
      <c r="A71" s="35" t="s">
        <v>67</v>
      </c>
      <c r="B71" s="38">
        <f t="shared" si="14"/>
        <v>0.6</v>
      </c>
      <c r="C71" s="37">
        <v>97</v>
      </c>
      <c r="D71" s="39">
        <f t="shared" si="1"/>
        <v>1.7999999999999999E-2</v>
      </c>
      <c r="E71" s="38">
        <f t="shared" si="15"/>
        <v>0.58199999999999996</v>
      </c>
      <c r="F71" s="34">
        <v>97</v>
      </c>
      <c r="G71" s="38">
        <f t="shared" si="16"/>
        <v>1.7999999999999999E-2</v>
      </c>
      <c r="H71" s="39"/>
      <c r="I71" s="34"/>
      <c r="J71" s="34"/>
      <c r="K71" s="34" t="s">
        <v>104</v>
      </c>
      <c r="L71" s="34"/>
      <c r="M71" s="34"/>
      <c r="N71" s="34"/>
      <c r="O71" s="34" t="s">
        <v>171</v>
      </c>
      <c r="P71" s="41" t="s">
        <v>118</v>
      </c>
      <c r="Q71" s="38">
        <v>0.6</v>
      </c>
      <c r="R71" s="37"/>
      <c r="S71" s="37"/>
      <c r="T71" s="37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</row>
    <row r="72" spans="1:35" ht="51" x14ac:dyDescent="0.25">
      <c r="A72" s="35" t="s">
        <v>67</v>
      </c>
      <c r="B72" s="38">
        <f t="shared" si="14"/>
        <v>0.6</v>
      </c>
      <c r="C72" s="37">
        <v>97</v>
      </c>
      <c r="D72" s="39">
        <f t="shared" ref="D72:D110" si="17">G72</f>
        <v>1.7999999999999999E-2</v>
      </c>
      <c r="E72" s="38">
        <f t="shared" si="15"/>
        <v>0.58199999999999996</v>
      </c>
      <c r="F72" s="34">
        <v>97</v>
      </c>
      <c r="G72" s="38">
        <f t="shared" si="16"/>
        <v>1.7999999999999999E-2</v>
      </c>
      <c r="H72" s="39"/>
      <c r="I72" s="34"/>
      <c r="J72" s="34"/>
      <c r="K72" s="34" t="s">
        <v>103</v>
      </c>
      <c r="L72" s="34"/>
      <c r="M72" s="34"/>
      <c r="N72" s="34"/>
      <c r="O72" s="34" t="s">
        <v>172</v>
      </c>
      <c r="P72" s="41" t="s">
        <v>118</v>
      </c>
      <c r="Q72" s="38">
        <v>0.6</v>
      </c>
      <c r="R72" s="37"/>
      <c r="S72" s="37"/>
      <c r="T72" s="37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</row>
    <row r="73" spans="1:35" ht="51" x14ac:dyDescent="0.25">
      <c r="A73" s="35" t="s">
        <v>67</v>
      </c>
      <c r="B73" s="38">
        <f t="shared" si="14"/>
        <v>0.9</v>
      </c>
      <c r="C73" s="37">
        <v>97</v>
      </c>
      <c r="D73" s="39">
        <f t="shared" si="17"/>
        <v>2.7E-2</v>
      </c>
      <c r="E73" s="38">
        <f t="shared" si="15"/>
        <v>0.873</v>
      </c>
      <c r="F73" s="34">
        <v>97</v>
      </c>
      <c r="G73" s="38">
        <f t="shared" si="16"/>
        <v>2.7E-2</v>
      </c>
      <c r="H73" s="39"/>
      <c r="I73" s="34"/>
      <c r="J73" s="34"/>
      <c r="K73" s="34" t="s">
        <v>105</v>
      </c>
      <c r="L73" s="34"/>
      <c r="M73" s="34"/>
      <c r="N73" s="34"/>
      <c r="O73" s="34" t="s">
        <v>170</v>
      </c>
      <c r="P73" s="41" t="s">
        <v>119</v>
      </c>
      <c r="Q73" s="38">
        <v>0.9</v>
      </c>
      <c r="R73" s="37"/>
      <c r="S73" s="37"/>
      <c r="T73" s="37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</row>
    <row r="74" spans="1:35" ht="76.5" x14ac:dyDescent="0.25">
      <c r="A74" s="35" t="s">
        <v>67</v>
      </c>
      <c r="B74" s="38">
        <f t="shared" si="14"/>
        <v>0.9</v>
      </c>
      <c r="C74" s="37">
        <v>97</v>
      </c>
      <c r="D74" s="39">
        <f t="shared" si="17"/>
        <v>2.7E-2</v>
      </c>
      <c r="E74" s="38">
        <f t="shared" si="15"/>
        <v>0.873</v>
      </c>
      <c r="F74" s="34">
        <v>97</v>
      </c>
      <c r="G74" s="38">
        <f t="shared" si="16"/>
        <v>2.7E-2</v>
      </c>
      <c r="H74" s="39"/>
      <c r="I74" s="34"/>
      <c r="J74" s="34"/>
      <c r="K74" s="34" t="s">
        <v>104</v>
      </c>
      <c r="L74" s="34"/>
      <c r="M74" s="34"/>
      <c r="N74" s="34"/>
      <c r="O74" s="34" t="s">
        <v>171</v>
      </c>
      <c r="P74" s="41" t="s">
        <v>119</v>
      </c>
      <c r="Q74" s="38">
        <v>0.9</v>
      </c>
      <c r="R74" s="37"/>
      <c r="S74" s="37"/>
      <c r="T74" s="37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</row>
    <row r="75" spans="1:35" ht="51" x14ac:dyDescent="0.25">
      <c r="A75" s="35" t="s">
        <v>67</v>
      </c>
      <c r="B75" s="38">
        <f t="shared" si="14"/>
        <v>0.9</v>
      </c>
      <c r="C75" s="37">
        <v>97</v>
      </c>
      <c r="D75" s="39">
        <f t="shared" si="17"/>
        <v>2.7E-2</v>
      </c>
      <c r="E75" s="38">
        <f t="shared" si="15"/>
        <v>0.873</v>
      </c>
      <c r="F75" s="34">
        <v>97</v>
      </c>
      <c r="G75" s="38">
        <f t="shared" si="16"/>
        <v>2.7E-2</v>
      </c>
      <c r="H75" s="39"/>
      <c r="I75" s="34"/>
      <c r="J75" s="34"/>
      <c r="K75" s="34" t="s">
        <v>103</v>
      </c>
      <c r="L75" s="34"/>
      <c r="M75" s="34"/>
      <c r="N75" s="34"/>
      <c r="O75" s="34" t="s">
        <v>172</v>
      </c>
      <c r="P75" s="41" t="s">
        <v>119</v>
      </c>
      <c r="Q75" s="38">
        <v>0.9</v>
      </c>
      <c r="R75" s="37"/>
      <c r="S75" s="37"/>
      <c r="T75" s="37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pans="1:35" ht="51" x14ac:dyDescent="0.25">
      <c r="A76" s="35" t="s">
        <v>67</v>
      </c>
      <c r="B76" s="38">
        <f t="shared" si="14"/>
        <v>82.499999999999986</v>
      </c>
      <c r="C76" s="37">
        <v>97</v>
      </c>
      <c r="D76" s="39">
        <f t="shared" si="17"/>
        <v>2.4750000000000001</v>
      </c>
      <c r="E76" s="38">
        <f t="shared" ref="E76:E87" si="18">Q76*F76%*5</f>
        <v>80.024999999999991</v>
      </c>
      <c r="F76" s="34">
        <v>97</v>
      </c>
      <c r="G76" s="38">
        <f t="shared" ref="G76:G87" si="19">Q76*3%*5</f>
        <v>2.4750000000000001</v>
      </c>
      <c r="H76" s="39"/>
      <c r="I76" s="34"/>
      <c r="J76" s="34"/>
      <c r="K76" s="34" t="s">
        <v>105</v>
      </c>
      <c r="L76" s="34"/>
      <c r="M76" s="34"/>
      <c r="N76" s="34"/>
      <c r="O76" s="34" t="s">
        <v>170</v>
      </c>
      <c r="P76" s="41" t="s">
        <v>115</v>
      </c>
      <c r="Q76" s="38">
        <v>16.5</v>
      </c>
      <c r="R76" s="37"/>
      <c r="S76" s="37"/>
      <c r="T76" s="37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</row>
    <row r="77" spans="1:35" ht="76.5" x14ac:dyDescent="0.25">
      <c r="A77" s="35" t="s">
        <v>67</v>
      </c>
      <c r="B77" s="38">
        <f t="shared" si="14"/>
        <v>82.499999999999986</v>
      </c>
      <c r="C77" s="37">
        <v>97</v>
      </c>
      <c r="D77" s="39">
        <f t="shared" si="17"/>
        <v>2.4750000000000001</v>
      </c>
      <c r="E77" s="38">
        <f t="shared" si="18"/>
        <v>80.024999999999991</v>
      </c>
      <c r="F77" s="34">
        <v>97</v>
      </c>
      <c r="G77" s="38">
        <f t="shared" si="19"/>
        <v>2.4750000000000001</v>
      </c>
      <c r="H77" s="39"/>
      <c r="I77" s="34"/>
      <c r="J77" s="34"/>
      <c r="K77" s="34" t="s">
        <v>104</v>
      </c>
      <c r="L77" s="34"/>
      <c r="M77" s="34"/>
      <c r="N77" s="34"/>
      <c r="O77" s="34" t="s">
        <v>171</v>
      </c>
      <c r="P77" s="41" t="s">
        <v>115</v>
      </c>
      <c r="Q77" s="38">
        <v>16.5</v>
      </c>
      <c r="R77" s="37"/>
      <c r="S77" s="37"/>
      <c r="T77" s="37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</row>
    <row r="78" spans="1:35" ht="51" x14ac:dyDescent="0.25">
      <c r="A78" s="35" t="s">
        <v>67</v>
      </c>
      <c r="B78" s="38">
        <f t="shared" si="14"/>
        <v>82.499999999999986</v>
      </c>
      <c r="C78" s="37">
        <v>97</v>
      </c>
      <c r="D78" s="39">
        <f t="shared" si="17"/>
        <v>2.4750000000000001</v>
      </c>
      <c r="E78" s="38">
        <f t="shared" si="18"/>
        <v>80.024999999999991</v>
      </c>
      <c r="F78" s="34">
        <v>97</v>
      </c>
      <c r="G78" s="38">
        <f t="shared" si="19"/>
        <v>2.4750000000000001</v>
      </c>
      <c r="H78" s="39"/>
      <c r="I78" s="34"/>
      <c r="J78" s="34"/>
      <c r="K78" s="34" t="s">
        <v>103</v>
      </c>
      <c r="L78" s="34"/>
      <c r="M78" s="34"/>
      <c r="N78" s="34"/>
      <c r="O78" s="34" t="s">
        <v>172</v>
      </c>
      <c r="P78" s="41" t="s">
        <v>115</v>
      </c>
      <c r="Q78" s="38">
        <v>16.5</v>
      </c>
      <c r="R78" s="37"/>
      <c r="S78" s="37"/>
      <c r="T78" s="37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</row>
    <row r="79" spans="1:35" ht="60" x14ac:dyDescent="0.25">
      <c r="A79" s="35" t="s">
        <v>67</v>
      </c>
      <c r="B79" s="38">
        <f t="shared" si="14"/>
        <v>21.749999999999996</v>
      </c>
      <c r="C79" s="37">
        <v>97</v>
      </c>
      <c r="D79" s="39">
        <f t="shared" si="17"/>
        <v>0.65249999999999986</v>
      </c>
      <c r="E79" s="38">
        <f t="shared" si="18"/>
        <v>21.097499999999997</v>
      </c>
      <c r="F79" s="34">
        <v>97</v>
      </c>
      <c r="G79" s="38">
        <f t="shared" si="19"/>
        <v>0.65249999999999986</v>
      </c>
      <c r="H79" s="39"/>
      <c r="I79" s="34"/>
      <c r="J79" s="34"/>
      <c r="K79" s="34" t="s">
        <v>105</v>
      </c>
      <c r="L79" s="34"/>
      <c r="M79" s="34"/>
      <c r="N79" s="34"/>
      <c r="O79" s="34" t="s">
        <v>170</v>
      </c>
      <c r="P79" s="41" t="s">
        <v>114</v>
      </c>
      <c r="Q79" s="38">
        <v>4.3499999999999996</v>
      </c>
      <c r="R79" s="37"/>
      <c r="S79" s="37"/>
      <c r="T79" s="37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</row>
    <row r="80" spans="1:35" ht="76.5" x14ac:dyDescent="0.25">
      <c r="A80" s="35" t="s">
        <v>67</v>
      </c>
      <c r="B80" s="38">
        <f t="shared" si="14"/>
        <v>21.749999999999996</v>
      </c>
      <c r="C80" s="37">
        <v>97</v>
      </c>
      <c r="D80" s="39">
        <f t="shared" si="17"/>
        <v>0.65249999999999986</v>
      </c>
      <c r="E80" s="38">
        <f t="shared" si="18"/>
        <v>21.097499999999997</v>
      </c>
      <c r="F80" s="34">
        <v>97</v>
      </c>
      <c r="G80" s="38">
        <f t="shared" si="19"/>
        <v>0.65249999999999986</v>
      </c>
      <c r="H80" s="39"/>
      <c r="I80" s="34"/>
      <c r="J80" s="34"/>
      <c r="K80" s="34" t="s">
        <v>104</v>
      </c>
      <c r="L80" s="34"/>
      <c r="M80" s="34"/>
      <c r="N80" s="34"/>
      <c r="O80" s="34" t="s">
        <v>171</v>
      </c>
      <c r="P80" s="41" t="s">
        <v>114</v>
      </c>
      <c r="Q80" s="38">
        <v>4.3499999999999996</v>
      </c>
      <c r="R80" s="37"/>
      <c r="S80" s="37"/>
      <c r="T80" s="37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</row>
    <row r="81" spans="1:35" ht="60" x14ac:dyDescent="0.25">
      <c r="A81" s="35" t="s">
        <v>67</v>
      </c>
      <c r="B81" s="38">
        <f t="shared" si="14"/>
        <v>21.749999999999996</v>
      </c>
      <c r="C81" s="37">
        <v>97</v>
      </c>
      <c r="D81" s="39">
        <f t="shared" si="17"/>
        <v>0.65249999999999986</v>
      </c>
      <c r="E81" s="38">
        <f t="shared" si="18"/>
        <v>21.097499999999997</v>
      </c>
      <c r="F81" s="34">
        <v>97</v>
      </c>
      <c r="G81" s="38">
        <f t="shared" si="19"/>
        <v>0.65249999999999986</v>
      </c>
      <c r="H81" s="39"/>
      <c r="I81" s="34"/>
      <c r="J81" s="34"/>
      <c r="K81" s="34" t="s">
        <v>103</v>
      </c>
      <c r="L81" s="34"/>
      <c r="M81" s="34"/>
      <c r="N81" s="34"/>
      <c r="O81" s="34" t="s">
        <v>172</v>
      </c>
      <c r="P81" s="41" t="s">
        <v>114</v>
      </c>
      <c r="Q81" s="38">
        <v>4.3499999999999996</v>
      </c>
      <c r="R81" s="37"/>
      <c r="S81" s="37"/>
      <c r="T81" s="37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</row>
    <row r="82" spans="1:35" ht="60" x14ac:dyDescent="0.25">
      <c r="A82" s="35" t="s">
        <v>67</v>
      </c>
      <c r="B82" s="38">
        <f t="shared" si="14"/>
        <v>94.284999999999997</v>
      </c>
      <c r="C82" s="37">
        <v>97</v>
      </c>
      <c r="D82" s="39">
        <f t="shared" si="17"/>
        <v>2.8285499999999999</v>
      </c>
      <c r="E82" s="38">
        <f t="shared" si="18"/>
        <v>91.456450000000004</v>
      </c>
      <c r="F82" s="34">
        <v>97</v>
      </c>
      <c r="G82" s="38">
        <f t="shared" si="19"/>
        <v>2.8285499999999999</v>
      </c>
      <c r="H82" s="39"/>
      <c r="I82" s="34"/>
      <c r="J82" s="34"/>
      <c r="K82" s="34" t="s">
        <v>105</v>
      </c>
      <c r="L82" s="34"/>
      <c r="M82" s="34"/>
      <c r="N82" s="34"/>
      <c r="O82" s="34" t="s">
        <v>170</v>
      </c>
      <c r="P82" s="41" t="s">
        <v>113</v>
      </c>
      <c r="Q82" s="38">
        <v>18.856999999999999</v>
      </c>
      <c r="R82" s="37"/>
      <c r="S82" s="37"/>
      <c r="T82" s="37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</row>
    <row r="83" spans="1:35" ht="76.5" x14ac:dyDescent="0.25">
      <c r="A83" s="35" t="s">
        <v>67</v>
      </c>
      <c r="B83" s="38">
        <f t="shared" ref="B83:B113" si="20">E83+G83</f>
        <v>94.284999999999997</v>
      </c>
      <c r="C83" s="37">
        <v>97</v>
      </c>
      <c r="D83" s="39">
        <f t="shared" si="17"/>
        <v>2.8285499999999999</v>
      </c>
      <c r="E83" s="38">
        <f t="shared" si="18"/>
        <v>91.456450000000004</v>
      </c>
      <c r="F83" s="34">
        <v>97</v>
      </c>
      <c r="G83" s="38">
        <f t="shared" si="19"/>
        <v>2.8285499999999999</v>
      </c>
      <c r="H83" s="39"/>
      <c r="I83" s="34"/>
      <c r="J83" s="34"/>
      <c r="K83" s="34" t="s">
        <v>104</v>
      </c>
      <c r="L83" s="34"/>
      <c r="M83" s="34"/>
      <c r="N83" s="34"/>
      <c r="O83" s="34" t="s">
        <v>171</v>
      </c>
      <c r="P83" s="41" t="s">
        <v>113</v>
      </c>
      <c r="Q83" s="38">
        <v>18.856999999999999</v>
      </c>
      <c r="R83" s="37"/>
      <c r="S83" s="37"/>
      <c r="T83" s="37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</row>
    <row r="84" spans="1:35" ht="60" x14ac:dyDescent="0.25">
      <c r="A84" s="35" t="s">
        <v>67</v>
      </c>
      <c r="B84" s="38">
        <f t="shared" si="20"/>
        <v>94.284999999999997</v>
      </c>
      <c r="C84" s="37">
        <v>97</v>
      </c>
      <c r="D84" s="39">
        <f t="shared" si="17"/>
        <v>2.8285499999999999</v>
      </c>
      <c r="E84" s="38">
        <f t="shared" si="18"/>
        <v>91.456450000000004</v>
      </c>
      <c r="F84" s="34">
        <v>97</v>
      </c>
      <c r="G84" s="38">
        <f t="shared" si="19"/>
        <v>2.8285499999999999</v>
      </c>
      <c r="H84" s="39"/>
      <c r="I84" s="34"/>
      <c r="J84" s="34"/>
      <c r="K84" s="34" t="s">
        <v>103</v>
      </c>
      <c r="L84" s="34"/>
      <c r="M84" s="34"/>
      <c r="N84" s="34"/>
      <c r="O84" s="34" t="s">
        <v>172</v>
      </c>
      <c r="P84" s="41" t="s">
        <v>113</v>
      </c>
      <c r="Q84" s="38">
        <v>18.856999999999999</v>
      </c>
      <c r="R84" s="37"/>
      <c r="S84" s="37"/>
      <c r="T84" s="37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</row>
    <row r="85" spans="1:35" ht="51" x14ac:dyDescent="0.25">
      <c r="A85" s="35" t="s">
        <v>67</v>
      </c>
      <c r="B85" s="38">
        <f t="shared" si="20"/>
        <v>8.5000000000000018</v>
      </c>
      <c r="C85" s="37">
        <v>97</v>
      </c>
      <c r="D85" s="39">
        <f t="shared" si="17"/>
        <v>0.255</v>
      </c>
      <c r="E85" s="38">
        <f t="shared" si="18"/>
        <v>8.245000000000001</v>
      </c>
      <c r="F85" s="34">
        <v>97</v>
      </c>
      <c r="G85" s="38">
        <f t="shared" si="19"/>
        <v>0.255</v>
      </c>
      <c r="H85" s="39"/>
      <c r="I85" s="34"/>
      <c r="J85" s="34"/>
      <c r="K85" s="34" t="s">
        <v>105</v>
      </c>
      <c r="L85" s="34"/>
      <c r="M85" s="34"/>
      <c r="N85" s="34"/>
      <c r="O85" s="34" t="s">
        <v>170</v>
      </c>
      <c r="P85" s="41" t="s">
        <v>112</v>
      </c>
      <c r="Q85" s="38">
        <v>1.7</v>
      </c>
      <c r="R85" s="37"/>
      <c r="S85" s="37"/>
      <c r="T85" s="37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</row>
    <row r="86" spans="1:35" ht="76.5" x14ac:dyDescent="0.25">
      <c r="A86" s="35" t="s">
        <v>67</v>
      </c>
      <c r="B86" s="38">
        <f t="shared" si="20"/>
        <v>8.5000000000000018</v>
      </c>
      <c r="C86" s="37">
        <v>97</v>
      </c>
      <c r="D86" s="39">
        <f t="shared" si="17"/>
        <v>0.255</v>
      </c>
      <c r="E86" s="38">
        <f t="shared" si="18"/>
        <v>8.245000000000001</v>
      </c>
      <c r="F86" s="34">
        <v>97</v>
      </c>
      <c r="G86" s="38">
        <f t="shared" si="19"/>
        <v>0.255</v>
      </c>
      <c r="H86" s="39"/>
      <c r="I86" s="34"/>
      <c r="J86" s="34"/>
      <c r="K86" s="34" t="s">
        <v>104</v>
      </c>
      <c r="L86" s="34"/>
      <c r="M86" s="34"/>
      <c r="N86" s="34"/>
      <c r="O86" s="34" t="s">
        <v>171</v>
      </c>
      <c r="P86" s="41" t="s">
        <v>112</v>
      </c>
      <c r="Q86" s="38">
        <v>1.7</v>
      </c>
      <c r="R86" s="37"/>
      <c r="S86" s="37"/>
      <c r="T86" s="37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</row>
    <row r="87" spans="1:35" ht="51" x14ac:dyDescent="0.25">
      <c r="A87" s="35" t="s">
        <v>67</v>
      </c>
      <c r="B87" s="38">
        <f t="shared" si="20"/>
        <v>8.5000000000000018</v>
      </c>
      <c r="C87" s="37">
        <v>97</v>
      </c>
      <c r="D87" s="39">
        <f t="shared" si="17"/>
        <v>0.255</v>
      </c>
      <c r="E87" s="38">
        <f t="shared" si="18"/>
        <v>8.245000000000001</v>
      </c>
      <c r="F87" s="34">
        <v>97</v>
      </c>
      <c r="G87" s="38">
        <f t="shared" si="19"/>
        <v>0.255</v>
      </c>
      <c r="H87" s="39"/>
      <c r="I87" s="34"/>
      <c r="J87" s="34"/>
      <c r="K87" s="34" t="s">
        <v>103</v>
      </c>
      <c r="L87" s="34"/>
      <c r="M87" s="34"/>
      <c r="N87" s="34"/>
      <c r="O87" s="34" t="s">
        <v>172</v>
      </c>
      <c r="P87" s="41" t="s">
        <v>112</v>
      </c>
      <c r="Q87" s="38">
        <v>1.7</v>
      </c>
      <c r="R87" s="37"/>
      <c r="S87" s="37"/>
      <c r="T87" s="37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</row>
    <row r="88" spans="1:35" ht="51" x14ac:dyDescent="0.25">
      <c r="A88" s="35" t="s">
        <v>67</v>
      </c>
      <c r="B88" s="38">
        <f t="shared" si="20"/>
        <v>10.1</v>
      </c>
      <c r="C88" s="37">
        <v>97</v>
      </c>
      <c r="D88" s="39">
        <f t="shared" si="17"/>
        <v>0.30299999999999999</v>
      </c>
      <c r="E88" s="38">
        <f t="shared" ref="E88:E108" si="21">Q88*F88%</f>
        <v>9.7969999999999988</v>
      </c>
      <c r="F88" s="34">
        <v>97</v>
      </c>
      <c r="G88" s="38">
        <f t="shared" ref="G88:G108" si="22">Q88*3%</f>
        <v>0.30299999999999999</v>
      </c>
      <c r="H88" s="39"/>
      <c r="I88" s="34"/>
      <c r="J88" s="34"/>
      <c r="K88" s="34" t="s">
        <v>105</v>
      </c>
      <c r="L88" s="34"/>
      <c r="M88" s="34"/>
      <c r="N88" s="34"/>
      <c r="O88" s="34" t="s">
        <v>170</v>
      </c>
      <c r="P88" s="41" t="s">
        <v>111</v>
      </c>
      <c r="Q88" s="38">
        <v>10.1</v>
      </c>
      <c r="R88" s="37"/>
      <c r="S88" s="37"/>
      <c r="T88" s="37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</row>
    <row r="89" spans="1:35" ht="76.5" x14ac:dyDescent="0.25">
      <c r="A89" s="35" t="s">
        <v>67</v>
      </c>
      <c r="B89" s="38">
        <f t="shared" si="20"/>
        <v>10.1</v>
      </c>
      <c r="C89" s="37">
        <v>97</v>
      </c>
      <c r="D89" s="39">
        <f t="shared" si="17"/>
        <v>0.30299999999999999</v>
      </c>
      <c r="E89" s="38">
        <f t="shared" si="21"/>
        <v>9.7969999999999988</v>
      </c>
      <c r="F89" s="34">
        <v>97</v>
      </c>
      <c r="G89" s="38">
        <f t="shared" si="22"/>
        <v>0.30299999999999999</v>
      </c>
      <c r="H89" s="39"/>
      <c r="I89" s="34"/>
      <c r="J89" s="34"/>
      <c r="K89" s="34" t="s">
        <v>104</v>
      </c>
      <c r="L89" s="34"/>
      <c r="M89" s="34"/>
      <c r="N89" s="34"/>
      <c r="O89" s="34" t="s">
        <v>171</v>
      </c>
      <c r="P89" s="41" t="s">
        <v>111</v>
      </c>
      <c r="Q89" s="38">
        <v>10.1</v>
      </c>
      <c r="R89" s="37"/>
      <c r="S89" s="37"/>
      <c r="T89" s="37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</row>
    <row r="90" spans="1:35" ht="51" x14ac:dyDescent="0.25">
      <c r="A90" s="35" t="s">
        <v>67</v>
      </c>
      <c r="B90" s="38">
        <f t="shared" si="20"/>
        <v>10.1</v>
      </c>
      <c r="C90" s="37">
        <v>97</v>
      </c>
      <c r="D90" s="39">
        <f t="shared" si="17"/>
        <v>0.30299999999999999</v>
      </c>
      <c r="E90" s="38">
        <f t="shared" si="21"/>
        <v>9.7969999999999988</v>
      </c>
      <c r="F90" s="34">
        <v>97</v>
      </c>
      <c r="G90" s="38">
        <f t="shared" si="22"/>
        <v>0.30299999999999999</v>
      </c>
      <c r="H90" s="39"/>
      <c r="I90" s="34"/>
      <c r="J90" s="34"/>
      <c r="K90" s="34" t="s">
        <v>103</v>
      </c>
      <c r="L90" s="34"/>
      <c r="M90" s="34"/>
      <c r="N90" s="34"/>
      <c r="O90" s="34" t="s">
        <v>172</v>
      </c>
      <c r="P90" s="41" t="s">
        <v>111</v>
      </c>
      <c r="Q90" s="38">
        <v>10.1</v>
      </c>
      <c r="R90" s="37"/>
      <c r="S90" s="37"/>
      <c r="T90" s="37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</row>
    <row r="91" spans="1:35" ht="51" x14ac:dyDescent="0.25">
      <c r="A91" s="35" t="s">
        <v>67</v>
      </c>
      <c r="B91" s="38">
        <f t="shared" si="20"/>
        <v>1.6</v>
      </c>
      <c r="C91" s="37">
        <v>97</v>
      </c>
      <c r="D91" s="39">
        <f t="shared" si="17"/>
        <v>4.8000000000000001E-2</v>
      </c>
      <c r="E91" s="38">
        <f t="shared" si="21"/>
        <v>1.552</v>
      </c>
      <c r="F91" s="34">
        <v>97</v>
      </c>
      <c r="G91" s="38">
        <f t="shared" si="22"/>
        <v>4.8000000000000001E-2</v>
      </c>
      <c r="H91" s="39"/>
      <c r="I91" s="34"/>
      <c r="J91" s="34"/>
      <c r="K91" s="34" t="s">
        <v>105</v>
      </c>
      <c r="L91" s="34"/>
      <c r="M91" s="34"/>
      <c r="N91" s="34"/>
      <c r="O91" s="34" t="s">
        <v>170</v>
      </c>
      <c r="P91" s="41" t="s">
        <v>110</v>
      </c>
      <c r="Q91" s="38">
        <v>1.6</v>
      </c>
      <c r="R91" s="37"/>
      <c r="S91" s="37"/>
      <c r="T91" s="37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</row>
    <row r="92" spans="1:35" ht="76.5" x14ac:dyDescent="0.25">
      <c r="A92" s="35" t="s">
        <v>67</v>
      </c>
      <c r="B92" s="38">
        <f t="shared" si="20"/>
        <v>1.6</v>
      </c>
      <c r="C92" s="37">
        <v>97</v>
      </c>
      <c r="D92" s="39">
        <f t="shared" si="17"/>
        <v>4.8000000000000001E-2</v>
      </c>
      <c r="E92" s="38">
        <f t="shared" si="21"/>
        <v>1.552</v>
      </c>
      <c r="F92" s="34">
        <v>97</v>
      </c>
      <c r="G92" s="38">
        <f t="shared" si="22"/>
        <v>4.8000000000000001E-2</v>
      </c>
      <c r="H92" s="39"/>
      <c r="I92" s="34"/>
      <c r="J92" s="34"/>
      <c r="K92" s="34" t="s">
        <v>104</v>
      </c>
      <c r="L92" s="34"/>
      <c r="M92" s="34"/>
      <c r="N92" s="34"/>
      <c r="O92" s="34" t="s">
        <v>171</v>
      </c>
      <c r="P92" s="41" t="s">
        <v>110</v>
      </c>
      <c r="Q92" s="38">
        <v>1.6</v>
      </c>
      <c r="R92" s="37"/>
      <c r="S92" s="37"/>
      <c r="T92" s="37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</row>
    <row r="93" spans="1:35" ht="67.5" customHeight="1" x14ac:dyDescent="0.25">
      <c r="A93" s="35" t="s">
        <v>67</v>
      </c>
      <c r="B93" s="38">
        <f t="shared" si="20"/>
        <v>1.6</v>
      </c>
      <c r="C93" s="37">
        <v>97</v>
      </c>
      <c r="D93" s="39">
        <f t="shared" si="17"/>
        <v>4.8000000000000001E-2</v>
      </c>
      <c r="E93" s="38">
        <f t="shared" si="21"/>
        <v>1.552</v>
      </c>
      <c r="F93" s="34">
        <v>97</v>
      </c>
      <c r="G93" s="38">
        <f t="shared" si="22"/>
        <v>4.8000000000000001E-2</v>
      </c>
      <c r="H93" s="39"/>
      <c r="I93" s="34"/>
      <c r="J93" s="34"/>
      <c r="K93" s="34" t="s">
        <v>103</v>
      </c>
      <c r="L93" s="34"/>
      <c r="M93" s="34"/>
      <c r="N93" s="34"/>
      <c r="O93" s="34" t="s">
        <v>172</v>
      </c>
      <c r="P93" s="41" t="s">
        <v>110</v>
      </c>
      <c r="Q93" s="38">
        <v>1.6</v>
      </c>
      <c r="R93" s="37"/>
      <c r="S93" s="37"/>
      <c r="T93" s="37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</row>
    <row r="94" spans="1:35" ht="51" x14ac:dyDescent="0.25">
      <c r="A94" s="35" t="s">
        <v>67</v>
      </c>
      <c r="B94" s="38">
        <f t="shared" si="20"/>
        <v>3.3</v>
      </c>
      <c r="C94" s="37">
        <v>97</v>
      </c>
      <c r="D94" s="39">
        <f t="shared" si="17"/>
        <v>9.8999999999999991E-2</v>
      </c>
      <c r="E94" s="38">
        <f t="shared" si="21"/>
        <v>3.2009999999999996</v>
      </c>
      <c r="F94" s="34">
        <v>97</v>
      </c>
      <c r="G94" s="38">
        <f t="shared" si="22"/>
        <v>9.8999999999999991E-2</v>
      </c>
      <c r="H94" s="39"/>
      <c r="I94" s="34"/>
      <c r="J94" s="34"/>
      <c r="K94" s="34" t="s">
        <v>105</v>
      </c>
      <c r="L94" s="34"/>
      <c r="M94" s="34"/>
      <c r="N94" s="34"/>
      <c r="O94" s="34" t="s">
        <v>170</v>
      </c>
      <c r="P94" s="41" t="s">
        <v>108</v>
      </c>
      <c r="Q94" s="38">
        <v>3.3</v>
      </c>
      <c r="R94" s="37"/>
      <c r="S94" s="37"/>
      <c r="T94" s="37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</row>
    <row r="95" spans="1:35" ht="76.5" x14ac:dyDescent="0.25">
      <c r="A95" s="35" t="s">
        <v>67</v>
      </c>
      <c r="B95" s="38">
        <f t="shared" si="20"/>
        <v>3.3</v>
      </c>
      <c r="C95" s="37">
        <v>97</v>
      </c>
      <c r="D95" s="39">
        <f t="shared" si="17"/>
        <v>9.8999999999999991E-2</v>
      </c>
      <c r="E95" s="38">
        <f t="shared" si="21"/>
        <v>3.2009999999999996</v>
      </c>
      <c r="F95" s="34">
        <v>97</v>
      </c>
      <c r="G95" s="38">
        <f t="shared" si="22"/>
        <v>9.8999999999999991E-2</v>
      </c>
      <c r="H95" s="39"/>
      <c r="I95" s="34"/>
      <c r="J95" s="34"/>
      <c r="K95" s="34" t="s">
        <v>104</v>
      </c>
      <c r="L95" s="34"/>
      <c r="M95" s="34"/>
      <c r="N95" s="34"/>
      <c r="O95" s="34" t="s">
        <v>171</v>
      </c>
      <c r="P95" s="41" t="s">
        <v>108</v>
      </c>
      <c r="Q95" s="38">
        <v>3.3</v>
      </c>
      <c r="R95" s="37"/>
      <c r="S95" s="37"/>
      <c r="T95" s="37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</row>
    <row r="96" spans="1:35" ht="51" x14ac:dyDescent="0.25">
      <c r="A96" s="35" t="s">
        <v>67</v>
      </c>
      <c r="B96" s="38">
        <f t="shared" si="20"/>
        <v>3.3</v>
      </c>
      <c r="C96" s="37">
        <v>97</v>
      </c>
      <c r="D96" s="39">
        <f t="shared" si="17"/>
        <v>9.8999999999999991E-2</v>
      </c>
      <c r="E96" s="38">
        <f t="shared" si="21"/>
        <v>3.2009999999999996</v>
      </c>
      <c r="F96" s="34">
        <v>97</v>
      </c>
      <c r="G96" s="38">
        <f t="shared" si="22"/>
        <v>9.8999999999999991E-2</v>
      </c>
      <c r="H96" s="39"/>
      <c r="I96" s="34"/>
      <c r="J96" s="34"/>
      <c r="K96" s="34" t="s">
        <v>103</v>
      </c>
      <c r="L96" s="34"/>
      <c r="M96" s="34"/>
      <c r="N96" s="34"/>
      <c r="O96" s="34" t="s">
        <v>172</v>
      </c>
      <c r="P96" s="41" t="s">
        <v>108</v>
      </c>
      <c r="Q96" s="38">
        <v>3.3</v>
      </c>
      <c r="R96" s="37"/>
      <c r="S96" s="37"/>
      <c r="T96" s="37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</row>
    <row r="97" spans="1:35" ht="51" x14ac:dyDescent="0.25">
      <c r="A97" s="35" t="s">
        <v>67</v>
      </c>
      <c r="B97" s="38">
        <f t="shared" si="20"/>
        <v>3.5</v>
      </c>
      <c r="C97" s="37">
        <v>97</v>
      </c>
      <c r="D97" s="39">
        <f t="shared" si="17"/>
        <v>0.105</v>
      </c>
      <c r="E97" s="38">
        <f t="shared" si="21"/>
        <v>3.395</v>
      </c>
      <c r="F97" s="34">
        <v>97</v>
      </c>
      <c r="G97" s="38">
        <f t="shared" si="22"/>
        <v>0.105</v>
      </c>
      <c r="H97" s="39"/>
      <c r="I97" s="34"/>
      <c r="J97" s="34"/>
      <c r="K97" s="34" t="s">
        <v>105</v>
      </c>
      <c r="L97" s="34"/>
      <c r="M97" s="34"/>
      <c r="N97" s="34"/>
      <c r="O97" s="34" t="s">
        <v>170</v>
      </c>
      <c r="P97" s="51" t="s">
        <v>109</v>
      </c>
      <c r="Q97" s="38">
        <v>3.5</v>
      </c>
      <c r="R97" s="37"/>
      <c r="S97" s="37"/>
      <c r="T97" s="37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</row>
    <row r="98" spans="1:35" ht="76.5" x14ac:dyDescent="0.25">
      <c r="A98" s="35" t="s">
        <v>67</v>
      </c>
      <c r="B98" s="38">
        <f t="shared" si="20"/>
        <v>3.5</v>
      </c>
      <c r="C98" s="37">
        <v>97</v>
      </c>
      <c r="D98" s="39">
        <f t="shared" si="17"/>
        <v>0.105</v>
      </c>
      <c r="E98" s="38">
        <f t="shared" si="21"/>
        <v>3.395</v>
      </c>
      <c r="F98" s="34">
        <v>97</v>
      </c>
      <c r="G98" s="38">
        <f t="shared" si="22"/>
        <v>0.105</v>
      </c>
      <c r="H98" s="39"/>
      <c r="I98" s="34"/>
      <c r="J98" s="34"/>
      <c r="K98" s="34" t="s">
        <v>104</v>
      </c>
      <c r="L98" s="34"/>
      <c r="M98" s="34"/>
      <c r="N98" s="34"/>
      <c r="O98" s="34" t="s">
        <v>171</v>
      </c>
      <c r="P98" s="41" t="s">
        <v>109</v>
      </c>
      <c r="Q98" s="38">
        <v>3.5</v>
      </c>
      <c r="R98" s="37"/>
      <c r="S98" s="37"/>
      <c r="T98" s="37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</row>
    <row r="99" spans="1:35" ht="51" x14ac:dyDescent="0.25">
      <c r="A99" s="35" t="s">
        <v>67</v>
      </c>
      <c r="B99" s="38">
        <f t="shared" si="20"/>
        <v>3.5</v>
      </c>
      <c r="C99" s="37">
        <v>97</v>
      </c>
      <c r="D99" s="39">
        <f t="shared" si="17"/>
        <v>0.105</v>
      </c>
      <c r="E99" s="38">
        <f t="shared" si="21"/>
        <v>3.395</v>
      </c>
      <c r="F99" s="34">
        <v>97</v>
      </c>
      <c r="G99" s="38">
        <f t="shared" si="22"/>
        <v>0.105</v>
      </c>
      <c r="H99" s="39"/>
      <c r="I99" s="34"/>
      <c r="J99" s="34"/>
      <c r="K99" s="34" t="s">
        <v>103</v>
      </c>
      <c r="L99" s="34"/>
      <c r="M99" s="34"/>
      <c r="N99" s="34"/>
      <c r="O99" s="34" t="s">
        <v>172</v>
      </c>
      <c r="P99" s="41" t="s">
        <v>109</v>
      </c>
      <c r="Q99" s="38">
        <v>3.5</v>
      </c>
      <c r="R99" s="37"/>
      <c r="S99" s="37"/>
      <c r="T99" s="37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</row>
    <row r="100" spans="1:35" ht="51" x14ac:dyDescent="0.25">
      <c r="A100" s="35" t="s">
        <v>67</v>
      </c>
      <c r="B100" s="38">
        <f t="shared" si="20"/>
        <v>40</v>
      </c>
      <c r="C100" s="37">
        <v>97</v>
      </c>
      <c r="D100" s="39">
        <f t="shared" si="17"/>
        <v>1.2</v>
      </c>
      <c r="E100" s="38">
        <f t="shared" si="21"/>
        <v>38.799999999999997</v>
      </c>
      <c r="F100" s="34">
        <v>97</v>
      </c>
      <c r="G100" s="38">
        <f t="shared" si="22"/>
        <v>1.2</v>
      </c>
      <c r="H100" s="39"/>
      <c r="I100" s="34"/>
      <c r="J100" s="34"/>
      <c r="K100" s="34" t="s">
        <v>105</v>
      </c>
      <c r="L100" s="34"/>
      <c r="M100" s="34"/>
      <c r="N100" s="34"/>
      <c r="O100" s="34" t="s">
        <v>170</v>
      </c>
      <c r="P100" s="34" t="s">
        <v>107</v>
      </c>
      <c r="Q100" s="38">
        <v>40</v>
      </c>
      <c r="R100" s="37"/>
      <c r="S100" s="37"/>
      <c r="T100" s="37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</row>
    <row r="101" spans="1:35" ht="76.5" x14ac:dyDescent="0.25">
      <c r="A101" s="35" t="s">
        <v>67</v>
      </c>
      <c r="B101" s="38">
        <f t="shared" si="20"/>
        <v>40</v>
      </c>
      <c r="C101" s="37">
        <v>97</v>
      </c>
      <c r="D101" s="39">
        <f t="shared" si="17"/>
        <v>1.2</v>
      </c>
      <c r="E101" s="38">
        <f t="shared" si="21"/>
        <v>38.799999999999997</v>
      </c>
      <c r="F101" s="34">
        <v>97</v>
      </c>
      <c r="G101" s="38">
        <f t="shared" si="22"/>
        <v>1.2</v>
      </c>
      <c r="H101" s="39"/>
      <c r="I101" s="34"/>
      <c r="J101" s="34"/>
      <c r="K101" s="34" t="s">
        <v>104</v>
      </c>
      <c r="L101" s="34"/>
      <c r="M101" s="34"/>
      <c r="N101" s="34"/>
      <c r="O101" s="34" t="s">
        <v>171</v>
      </c>
      <c r="P101" s="34" t="s">
        <v>107</v>
      </c>
      <c r="Q101" s="38">
        <v>40</v>
      </c>
      <c r="R101" s="37"/>
      <c r="S101" s="37"/>
      <c r="T101" s="37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</row>
    <row r="102" spans="1:35" ht="51" x14ac:dyDescent="0.25">
      <c r="A102" s="35" t="s">
        <v>67</v>
      </c>
      <c r="B102" s="38">
        <f t="shared" si="20"/>
        <v>40</v>
      </c>
      <c r="C102" s="37">
        <v>97</v>
      </c>
      <c r="D102" s="39">
        <f t="shared" si="17"/>
        <v>1.2</v>
      </c>
      <c r="E102" s="38">
        <f t="shared" si="21"/>
        <v>38.799999999999997</v>
      </c>
      <c r="F102" s="34">
        <v>97</v>
      </c>
      <c r="G102" s="38">
        <f t="shared" si="22"/>
        <v>1.2</v>
      </c>
      <c r="H102" s="39"/>
      <c r="I102" s="34"/>
      <c r="J102" s="34"/>
      <c r="K102" s="34" t="s">
        <v>103</v>
      </c>
      <c r="L102" s="34"/>
      <c r="M102" s="34"/>
      <c r="N102" s="34"/>
      <c r="O102" s="34" t="s">
        <v>172</v>
      </c>
      <c r="P102" s="34" t="s">
        <v>107</v>
      </c>
      <c r="Q102" s="38">
        <v>40</v>
      </c>
      <c r="R102" s="37"/>
      <c r="S102" s="37"/>
      <c r="T102" s="37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</row>
    <row r="103" spans="1:35" ht="51" x14ac:dyDescent="0.25">
      <c r="A103" s="35" t="s">
        <v>67</v>
      </c>
      <c r="B103" s="38">
        <f t="shared" si="20"/>
        <v>1</v>
      </c>
      <c r="C103" s="37">
        <v>97</v>
      </c>
      <c r="D103" s="39">
        <f t="shared" si="17"/>
        <v>0.03</v>
      </c>
      <c r="E103" s="38">
        <f t="shared" si="21"/>
        <v>0.97</v>
      </c>
      <c r="F103" s="34">
        <v>97</v>
      </c>
      <c r="G103" s="38">
        <f t="shared" si="22"/>
        <v>0.03</v>
      </c>
      <c r="H103" s="39"/>
      <c r="I103" s="34"/>
      <c r="J103" s="34"/>
      <c r="K103" s="34" t="s">
        <v>105</v>
      </c>
      <c r="L103" s="34"/>
      <c r="M103" s="34"/>
      <c r="N103" s="34"/>
      <c r="O103" s="34" t="s">
        <v>170</v>
      </c>
      <c r="P103" s="34" t="s">
        <v>106</v>
      </c>
      <c r="Q103" s="38">
        <v>1</v>
      </c>
      <c r="R103" s="37"/>
      <c r="S103" s="37"/>
      <c r="T103" s="37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</row>
    <row r="104" spans="1:35" ht="76.5" x14ac:dyDescent="0.25">
      <c r="A104" s="35" t="s">
        <v>67</v>
      </c>
      <c r="B104" s="38">
        <f t="shared" si="20"/>
        <v>1</v>
      </c>
      <c r="C104" s="37">
        <v>97</v>
      </c>
      <c r="D104" s="39">
        <f t="shared" si="17"/>
        <v>0.03</v>
      </c>
      <c r="E104" s="38">
        <f t="shared" si="21"/>
        <v>0.97</v>
      </c>
      <c r="F104" s="34">
        <v>97</v>
      </c>
      <c r="G104" s="38">
        <f t="shared" si="22"/>
        <v>0.03</v>
      </c>
      <c r="H104" s="39"/>
      <c r="I104" s="34"/>
      <c r="J104" s="34"/>
      <c r="K104" s="34" t="s">
        <v>104</v>
      </c>
      <c r="L104" s="34"/>
      <c r="M104" s="34"/>
      <c r="N104" s="34"/>
      <c r="O104" s="34" t="s">
        <v>171</v>
      </c>
      <c r="P104" s="34" t="s">
        <v>106</v>
      </c>
      <c r="Q104" s="38">
        <v>1</v>
      </c>
      <c r="R104" s="37"/>
      <c r="S104" s="37"/>
      <c r="T104" s="37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</row>
    <row r="105" spans="1:35" ht="51" x14ac:dyDescent="0.25">
      <c r="A105" s="35" t="s">
        <v>67</v>
      </c>
      <c r="B105" s="38">
        <f t="shared" si="20"/>
        <v>1</v>
      </c>
      <c r="C105" s="37">
        <v>97</v>
      </c>
      <c r="D105" s="39">
        <f t="shared" si="17"/>
        <v>0.03</v>
      </c>
      <c r="E105" s="38">
        <f t="shared" si="21"/>
        <v>0.97</v>
      </c>
      <c r="F105" s="34">
        <v>97</v>
      </c>
      <c r="G105" s="38">
        <f t="shared" si="22"/>
        <v>0.03</v>
      </c>
      <c r="H105" s="39"/>
      <c r="I105" s="34"/>
      <c r="J105" s="34"/>
      <c r="K105" s="34" t="s">
        <v>103</v>
      </c>
      <c r="L105" s="34"/>
      <c r="M105" s="34"/>
      <c r="N105" s="34"/>
      <c r="O105" s="34" t="s">
        <v>172</v>
      </c>
      <c r="P105" s="34" t="s">
        <v>106</v>
      </c>
      <c r="Q105" s="38">
        <v>1</v>
      </c>
      <c r="R105" s="37"/>
      <c r="S105" s="37"/>
      <c r="T105" s="37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</row>
    <row r="106" spans="1:35" ht="51" x14ac:dyDescent="0.25">
      <c r="A106" s="35" t="s">
        <v>67</v>
      </c>
      <c r="B106" s="38">
        <f t="shared" si="20"/>
        <v>1.4330000000000001</v>
      </c>
      <c r="C106" s="37">
        <v>97</v>
      </c>
      <c r="D106" s="39">
        <f t="shared" si="17"/>
        <v>4.299E-2</v>
      </c>
      <c r="E106" s="38">
        <f t="shared" si="21"/>
        <v>1.39001</v>
      </c>
      <c r="F106" s="34">
        <v>97</v>
      </c>
      <c r="G106" s="38">
        <f t="shared" si="22"/>
        <v>4.299E-2</v>
      </c>
      <c r="H106" s="39"/>
      <c r="I106" s="34"/>
      <c r="J106" s="34"/>
      <c r="K106" s="34" t="s">
        <v>105</v>
      </c>
      <c r="L106" s="34"/>
      <c r="M106" s="34"/>
      <c r="N106" s="34"/>
      <c r="O106" s="34" t="s">
        <v>170</v>
      </c>
      <c r="P106" s="34" t="s">
        <v>102</v>
      </c>
      <c r="Q106" s="38">
        <v>1.4330000000000001</v>
      </c>
      <c r="R106" s="37"/>
      <c r="S106" s="37"/>
      <c r="T106" s="37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</row>
    <row r="107" spans="1:35" ht="76.5" x14ac:dyDescent="0.25">
      <c r="A107" s="35" t="s">
        <v>67</v>
      </c>
      <c r="B107" s="38">
        <f t="shared" si="20"/>
        <v>1.4330000000000001</v>
      </c>
      <c r="C107" s="37">
        <v>97</v>
      </c>
      <c r="D107" s="39">
        <f t="shared" si="17"/>
        <v>4.299E-2</v>
      </c>
      <c r="E107" s="38">
        <f t="shared" si="21"/>
        <v>1.39001</v>
      </c>
      <c r="F107" s="34">
        <v>97</v>
      </c>
      <c r="G107" s="38">
        <f t="shared" si="22"/>
        <v>4.299E-2</v>
      </c>
      <c r="H107" s="39"/>
      <c r="I107" s="34"/>
      <c r="J107" s="34"/>
      <c r="K107" s="34" t="s">
        <v>104</v>
      </c>
      <c r="L107" s="34"/>
      <c r="M107" s="34"/>
      <c r="N107" s="34"/>
      <c r="O107" s="34" t="s">
        <v>171</v>
      </c>
      <c r="P107" s="34" t="s">
        <v>102</v>
      </c>
      <c r="Q107" s="34">
        <v>1.4330000000000001</v>
      </c>
      <c r="R107" s="37"/>
      <c r="S107" s="37"/>
      <c r="T107" s="37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</row>
    <row r="108" spans="1:35" ht="51" x14ac:dyDescent="0.25">
      <c r="A108" s="35" t="s">
        <v>67</v>
      </c>
      <c r="B108" s="38">
        <f t="shared" si="20"/>
        <v>1.4330000000000001</v>
      </c>
      <c r="C108" s="37">
        <v>97</v>
      </c>
      <c r="D108" s="39">
        <f t="shared" si="17"/>
        <v>4.299E-2</v>
      </c>
      <c r="E108" s="38">
        <f t="shared" si="21"/>
        <v>1.39001</v>
      </c>
      <c r="F108" s="34">
        <v>97</v>
      </c>
      <c r="G108" s="38">
        <f t="shared" si="22"/>
        <v>4.299E-2</v>
      </c>
      <c r="H108" s="39"/>
      <c r="I108" s="34"/>
      <c r="J108" s="34"/>
      <c r="K108" s="34" t="s">
        <v>103</v>
      </c>
      <c r="L108" s="34"/>
      <c r="M108" s="34"/>
      <c r="N108" s="34"/>
      <c r="O108" s="34" t="s">
        <v>172</v>
      </c>
      <c r="P108" s="34" t="s">
        <v>102</v>
      </c>
      <c r="Q108" s="34">
        <v>1.4330000000000001</v>
      </c>
      <c r="R108" s="37"/>
      <c r="S108" s="37"/>
      <c r="T108" s="37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</row>
    <row r="109" spans="1:35" ht="76.5" x14ac:dyDescent="0.25">
      <c r="A109" s="35" t="s">
        <v>67</v>
      </c>
      <c r="B109" s="36">
        <f t="shared" si="20"/>
        <v>40</v>
      </c>
      <c r="C109" s="37">
        <v>97</v>
      </c>
      <c r="D109" s="39">
        <f t="shared" si="17"/>
        <v>1.2</v>
      </c>
      <c r="E109" s="36">
        <f>AF109*F109%</f>
        <v>38.799999999999997</v>
      </c>
      <c r="F109" s="37">
        <v>97</v>
      </c>
      <c r="G109" s="36">
        <f>AF109*3%</f>
        <v>1.2</v>
      </c>
      <c r="H109" s="39"/>
      <c r="I109" s="34"/>
      <c r="J109" s="34"/>
      <c r="K109" s="34" t="s">
        <v>104</v>
      </c>
      <c r="L109" s="34"/>
      <c r="M109" s="34"/>
      <c r="N109" s="34"/>
      <c r="O109" s="37"/>
      <c r="P109" s="37"/>
      <c r="Q109" s="37"/>
      <c r="R109" s="37"/>
      <c r="S109" s="37"/>
      <c r="T109" s="37"/>
      <c r="U109" s="34"/>
      <c r="V109" s="34"/>
      <c r="W109" s="34"/>
      <c r="X109" s="34"/>
      <c r="Y109" s="34"/>
      <c r="Z109" s="34"/>
      <c r="AA109" s="34"/>
      <c r="AB109" s="34"/>
      <c r="AC109" s="34"/>
      <c r="AD109" s="34" t="s">
        <v>96</v>
      </c>
      <c r="AE109" s="34" t="s">
        <v>100</v>
      </c>
      <c r="AF109" s="34">
        <v>40</v>
      </c>
      <c r="AG109" s="34"/>
      <c r="AH109" s="34"/>
      <c r="AI109" s="34"/>
    </row>
    <row r="110" spans="1:35" ht="76.5" x14ac:dyDescent="0.25">
      <c r="A110" s="35" t="s">
        <v>67</v>
      </c>
      <c r="B110" s="36">
        <f t="shared" si="20"/>
        <v>333.9</v>
      </c>
      <c r="C110" s="37">
        <v>97</v>
      </c>
      <c r="D110" s="39">
        <f t="shared" si="17"/>
        <v>10.016999999999999</v>
      </c>
      <c r="E110" s="36">
        <f>AF110*F110%</f>
        <v>323.88299999999998</v>
      </c>
      <c r="F110" s="37">
        <v>97</v>
      </c>
      <c r="G110" s="36">
        <f>AF110*3%</f>
        <v>10.016999999999999</v>
      </c>
      <c r="H110" s="39"/>
      <c r="I110" s="34"/>
      <c r="J110" s="34"/>
      <c r="K110" s="34" t="s">
        <v>104</v>
      </c>
      <c r="L110" s="34"/>
      <c r="M110" s="34"/>
      <c r="N110" s="34"/>
      <c r="O110" s="37"/>
      <c r="P110" s="37"/>
      <c r="Q110" s="37"/>
      <c r="R110" s="37"/>
      <c r="S110" s="37"/>
      <c r="T110" s="37"/>
      <c r="U110" s="34"/>
      <c r="V110" s="34"/>
      <c r="W110" s="34"/>
      <c r="X110" s="34"/>
      <c r="Y110" s="34"/>
      <c r="Z110" s="34"/>
      <c r="AA110" s="34"/>
      <c r="AB110" s="34"/>
      <c r="AC110" s="34"/>
      <c r="AD110" s="34" t="s">
        <v>96</v>
      </c>
      <c r="AE110" s="34" t="s">
        <v>99</v>
      </c>
      <c r="AF110" s="34">
        <v>333.9</v>
      </c>
      <c r="AG110" s="34"/>
      <c r="AH110" s="34"/>
      <c r="AI110" s="34"/>
    </row>
    <row r="111" spans="1:35" ht="72" customHeight="1" x14ac:dyDescent="0.25">
      <c r="A111" s="35" t="s">
        <v>67</v>
      </c>
      <c r="B111" s="36">
        <f>H111+J111</f>
        <v>1059.9960000000001</v>
      </c>
      <c r="C111" s="37">
        <v>97</v>
      </c>
      <c r="D111" s="36">
        <f>J111</f>
        <v>31.799880000000002</v>
      </c>
      <c r="E111" s="37"/>
      <c r="F111" s="37"/>
      <c r="G111" s="37"/>
      <c r="H111" s="36">
        <f>AI111*6*I111%</f>
        <v>1028.1961200000001</v>
      </c>
      <c r="I111" s="37">
        <f>C111</f>
        <v>97</v>
      </c>
      <c r="J111" s="36">
        <f>AI111*6*3%</f>
        <v>31.799880000000002</v>
      </c>
      <c r="K111" s="34" t="s">
        <v>141</v>
      </c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 t="s">
        <v>96</v>
      </c>
      <c r="AH111" s="34" t="s">
        <v>101</v>
      </c>
      <c r="AI111" s="37">
        <v>176.666</v>
      </c>
    </row>
    <row r="112" spans="1:35" ht="86.25" customHeight="1" x14ac:dyDescent="0.25">
      <c r="A112" s="35" t="s">
        <v>67</v>
      </c>
      <c r="B112" s="36">
        <f t="shared" si="20"/>
        <v>425</v>
      </c>
      <c r="C112" s="37">
        <v>97</v>
      </c>
      <c r="D112" s="52">
        <f>G112</f>
        <v>12.75</v>
      </c>
      <c r="E112" s="36">
        <f>AF112*F112%*5</f>
        <v>412.25</v>
      </c>
      <c r="F112" s="37">
        <v>97</v>
      </c>
      <c r="G112" s="36">
        <f>AF112*3%*5</f>
        <v>12.75</v>
      </c>
      <c r="H112" s="39"/>
      <c r="I112" s="34"/>
      <c r="J112" s="34"/>
      <c r="K112" s="34" t="s">
        <v>142</v>
      </c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 t="s">
        <v>96</v>
      </c>
      <c r="AE112" s="34" t="s">
        <v>143</v>
      </c>
      <c r="AF112" s="34">
        <v>85</v>
      </c>
      <c r="AG112" s="34"/>
      <c r="AH112" s="34"/>
      <c r="AI112" s="34"/>
    </row>
    <row r="113" spans="1:35" ht="117" customHeight="1" x14ac:dyDescent="0.25">
      <c r="A113" s="35" t="s">
        <v>67</v>
      </c>
      <c r="B113" s="36">
        <f t="shared" si="20"/>
        <v>125</v>
      </c>
      <c r="C113" s="37">
        <v>97</v>
      </c>
      <c r="D113" s="52">
        <f t="shared" ref="D113:D115" si="23">G113</f>
        <v>3.75</v>
      </c>
      <c r="E113" s="36">
        <f>AF113*F113%</f>
        <v>121.25</v>
      </c>
      <c r="F113" s="37">
        <v>97</v>
      </c>
      <c r="G113" s="36">
        <f>AF113*3%</f>
        <v>3.75</v>
      </c>
      <c r="H113" s="39"/>
      <c r="I113" s="34"/>
      <c r="J113" s="34"/>
      <c r="K113" s="34" t="s">
        <v>142</v>
      </c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 t="s">
        <v>96</v>
      </c>
      <c r="AE113" s="34" t="s">
        <v>144</v>
      </c>
      <c r="AF113" s="34">
        <v>125</v>
      </c>
      <c r="AG113" s="34"/>
      <c r="AH113" s="34"/>
      <c r="AI113" s="34"/>
    </row>
    <row r="114" spans="1:35" ht="117" customHeight="1" x14ac:dyDescent="0.25">
      <c r="A114" s="35" t="s">
        <v>67</v>
      </c>
      <c r="B114" s="36">
        <f t="shared" ref="B114:B119" si="24">E114+G114</f>
        <v>50</v>
      </c>
      <c r="C114" s="37">
        <v>97</v>
      </c>
      <c r="D114" s="52">
        <f t="shared" si="23"/>
        <v>1.5</v>
      </c>
      <c r="E114" s="36">
        <f>AF114*F114%*10</f>
        <v>48.5</v>
      </c>
      <c r="F114" s="37">
        <v>97</v>
      </c>
      <c r="G114" s="36">
        <f>AF114*3%*10</f>
        <v>1.5</v>
      </c>
      <c r="H114" s="39"/>
      <c r="I114" s="34"/>
      <c r="J114" s="34"/>
      <c r="K114" s="34" t="s">
        <v>142</v>
      </c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 t="s">
        <v>96</v>
      </c>
      <c r="AE114" s="34" t="s">
        <v>145</v>
      </c>
      <c r="AF114" s="34">
        <v>5</v>
      </c>
      <c r="AG114" s="34"/>
      <c r="AH114" s="34"/>
      <c r="AI114" s="34"/>
    </row>
    <row r="115" spans="1:35" ht="216.75" customHeight="1" x14ac:dyDescent="0.25">
      <c r="A115" s="35" t="s">
        <v>67</v>
      </c>
      <c r="B115" s="36">
        <f t="shared" si="24"/>
        <v>100</v>
      </c>
      <c r="C115" s="37">
        <v>97</v>
      </c>
      <c r="D115" s="52">
        <f t="shared" si="23"/>
        <v>3</v>
      </c>
      <c r="E115" s="36">
        <f>AF115*F115%*2</f>
        <v>97</v>
      </c>
      <c r="F115" s="37">
        <v>97</v>
      </c>
      <c r="G115" s="36">
        <f>AF115*3%*2</f>
        <v>3</v>
      </c>
      <c r="H115" s="39"/>
      <c r="I115" s="34"/>
      <c r="J115" s="34"/>
      <c r="K115" s="34" t="s">
        <v>142</v>
      </c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 t="s">
        <v>96</v>
      </c>
      <c r="AE115" s="34" t="s">
        <v>146</v>
      </c>
      <c r="AF115" s="34">
        <v>50</v>
      </c>
      <c r="AG115" s="34"/>
      <c r="AH115" s="34"/>
      <c r="AI115" s="34"/>
    </row>
    <row r="116" spans="1:35" ht="216.75" customHeight="1" x14ac:dyDescent="0.25">
      <c r="A116" s="35" t="s">
        <v>67</v>
      </c>
      <c r="B116" s="36">
        <f t="shared" si="24"/>
        <v>400</v>
      </c>
      <c r="C116" s="37">
        <v>97</v>
      </c>
      <c r="D116" s="52">
        <f>G116</f>
        <v>12</v>
      </c>
      <c r="E116" s="36">
        <f>AC116*F116%</f>
        <v>388</v>
      </c>
      <c r="F116" s="37">
        <v>97</v>
      </c>
      <c r="G116" s="36">
        <f>AC116*3%</f>
        <v>12</v>
      </c>
      <c r="H116" s="39"/>
      <c r="I116" s="34"/>
      <c r="J116" s="34"/>
      <c r="K116" s="34" t="s">
        <v>149</v>
      </c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 t="s">
        <v>150</v>
      </c>
      <c r="AB116" s="34" t="s">
        <v>157</v>
      </c>
      <c r="AC116" s="34">
        <v>400</v>
      </c>
      <c r="AD116" s="34"/>
      <c r="AE116" s="34"/>
      <c r="AF116" s="34"/>
      <c r="AG116" s="34"/>
      <c r="AH116" s="34"/>
      <c r="AI116" s="34"/>
    </row>
    <row r="117" spans="1:35" ht="122.25" customHeight="1" x14ac:dyDescent="0.25">
      <c r="A117" s="35" t="s">
        <v>67</v>
      </c>
      <c r="B117" s="36">
        <f t="shared" si="24"/>
        <v>135</v>
      </c>
      <c r="C117" s="37">
        <v>97</v>
      </c>
      <c r="D117" s="52">
        <f>G117</f>
        <v>4.05</v>
      </c>
      <c r="E117" s="36">
        <f>AC117*F117%</f>
        <v>130.94999999999999</v>
      </c>
      <c r="F117" s="37">
        <v>97</v>
      </c>
      <c r="G117" s="36">
        <f>AC117*3%</f>
        <v>4.05</v>
      </c>
      <c r="H117" s="39"/>
      <c r="I117" s="34"/>
      <c r="J117" s="34"/>
      <c r="K117" s="34" t="s">
        <v>149</v>
      </c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 t="s">
        <v>150</v>
      </c>
      <c r="AB117" s="34" t="s">
        <v>158</v>
      </c>
      <c r="AC117" s="34">
        <v>135</v>
      </c>
      <c r="AD117" s="34"/>
      <c r="AE117" s="34"/>
      <c r="AF117" s="34"/>
      <c r="AG117" s="34"/>
      <c r="AH117" s="34"/>
      <c r="AI117" s="34"/>
    </row>
    <row r="118" spans="1:35" ht="122.25" customHeight="1" x14ac:dyDescent="0.25">
      <c r="A118" s="35" t="s">
        <v>67</v>
      </c>
      <c r="B118" s="36">
        <f t="shared" si="24"/>
        <v>65</v>
      </c>
      <c r="C118" s="37">
        <v>97</v>
      </c>
      <c r="D118" s="52">
        <f>G118</f>
        <v>1.95</v>
      </c>
      <c r="E118" s="36">
        <f>AC118*F118%</f>
        <v>63.05</v>
      </c>
      <c r="F118" s="37">
        <v>97</v>
      </c>
      <c r="G118" s="36">
        <f>AC118*3%</f>
        <v>1.95</v>
      </c>
      <c r="H118" s="39"/>
      <c r="I118" s="34"/>
      <c r="J118" s="34"/>
      <c r="K118" s="34" t="s">
        <v>149</v>
      </c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 t="s">
        <v>150</v>
      </c>
      <c r="AB118" s="34" t="s">
        <v>159</v>
      </c>
      <c r="AC118" s="34">
        <v>65</v>
      </c>
      <c r="AD118" s="34"/>
      <c r="AE118" s="34"/>
      <c r="AF118" s="34"/>
      <c r="AG118" s="34"/>
      <c r="AH118" s="34"/>
      <c r="AI118" s="34"/>
    </row>
    <row r="119" spans="1:35" ht="350.25" customHeight="1" x14ac:dyDescent="0.25">
      <c r="A119" s="35" t="s">
        <v>67</v>
      </c>
      <c r="B119" s="36">
        <f t="shared" si="24"/>
        <v>1000</v>
      </c>
      <c r="C119" s="37">
        <v>97</v>
      </c>
      <c r="D119" s="34">
        <v>30</v>
      </c>
      <c r="E119" s="34">
        <v>970</v>
      </c>
      <c r="F119" s="34">
        <v>97</v>
      </c>
      <c r="G119" s="34">
        <v>30</v>
      </c>
      <c r="H119" s="39"/>
      <c r="I119" s="34"/>
      <c r="J119" s="34"/>
      <c r="K119" s="34" t="s">
        <v>98</v>
      </c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 t="s">
        <v>150</v>
      </c>
      <c r="AB119" s="34" t="s">
        <v>151</v>
      </c>
      <c r="AC119" s="34" t="s">
        <v>152</v>
      </c>
      <c r="AD119" s="34"/>
      <c r="AE119" s="34"/>
      <c r="AF119" s="34"/>
      <c r="AG119" s="34"/>
      <c r="AH119" s="34"/>
      <c r="AI119" s="34"/>
    </row>
    <row r="120" spans="1:35" ht="214.5" customHeight="1" x14ac:dyDescent="0.25">
      <c r="A120" s="35" t="s">
        <v>67</v>
      </c>
      <c r="B120" s="34">
        <v>1000</v>
      </c>
      <c r="C120" s="34">
        <v>3</v>
      </c>
      <c r="D120" s="34">
        <v>30</v>
      </c>
      <c r="E120" s="34">
        <v>970</v>
      </c>
      <c r="F120" s="34">
        <v>97</v>
      </c>
      <c r="G120" s="34">
        <v>30</v>
      </c>
      <c r="H120" s="39"/>
      <c r="I120" s="34"/>
      <c r="J120" s="34"/>
      <c r="K120" s="34" t="s">
        <v>98</v>
      </c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 t="s">
        <v>153</v>
      </c>
      <c r="AB120" s="34" t="s">
        <v>154</v>
      </c>
      <c r="AC120" s="34" t="s">
        <v>155</v>
      </c>
      <c r="AD120" s="34"/>
      <c r="AE120" s="34"/>
      <c r="AF120" s="34"/>
      <c r="AG120" s="34"/>
      <c r="AH120" s="34"/>
      <c r="AI120" s="34"/>
    </row>
    <row r="121" spans="1:35" ht="302.25" customHeight="1" x14ac:dyDescent="0.25">
      <c r="A121" s="35" t="s">
        <v>67</v>
      </c>
      <c r="B121" s="36">
        <f>E121+G121</f>
        <v>260</v>
      </c>
      <c r="C121" s="37">
        <v>3</v>
      </c>
      <c r="D121" s="36">
        <f>G121</f>
        <v>7.8</v>
      </c>
      <c r="E121" s="36">
        <f>AC121*F121%</f>
        <v>252.2</v>
      </c>
      <c r="F121" s="37">
        <v>97</v>
      </c>
      <c r="G121" s="36">
        <f>AC121*3%</f>
        <v>7.8</v>
      </c>
      <c r="H121" s="39"/>
      <c r="I121" s="34"/>
      <c r="J121" s="37"/>
      <c r="K121" s="34" t="s">
        <v>98</v>
      </c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41" t="s">
        <v>156</v>
      </c>
      <c r="AB121" s="41" t="s">
        <v>160</v>
      </c>
      <c r="AC121" s="41">
        <v>260</v>
      </c>
      <c r="AD121" s="37"/>
      <c r="AE121" s="37"/>
      <c r="AF121" s="37"/>
      <c r="AG121" s="37"/>
      <c r="AH121" s="34"/>
      <c r="AI121" s="37"/>
    </row>
    <row r="122" spans="1:35" ht="102.75" customHeight="1" x14ac:dyDescent="0.25">
      <c r="A122" s="35" t="s">
        <v>67</v>
      </c>
      <c r="B122" s="36">
        <f>E122+G122</f>
        <v>119.99999999999999</v>
      </c>
      <c r="C122" s="37">
        <v>97</v>
      </c>
      <c r="D122" s="39">
        <f>G122</f>
        <v>3.5999999999999996</v>
      </c>
      <c r="E122" s="36">
        <f>AC122*20*F122%</f>
        <v>116.39999999999999</v>
      </c>
      <c r="F122" s="37">
        <v>97</v>
      </c>
      <c r="G122" s="36">
        <f>AC122*20*3%</f>
        <v>3.5999999999999996</v>
      </c>
      <c r="H122" s="39"/>
      <c r="I122" s="34"/>
      <c r="J122" s="34"/>
      <c r="K122" s="34" t="s">
        <v>98</v>
      </c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 t="s">
        <v>96</v>
      </c>
      <c r="AB122" s="34" t="s">
        <v>97</v>
      </c>
      <c r="AC122" s="34">
        <v>6</v>
      </c>
      <c r="AD122" s="34"/>
      <c r="AE122" s="34"/>
      <c r="AF122" s="34"/>
      <c r="AG122" s="34"/>
      <c r="AH122" s="34"/>
      <c r="AI122" s="34"/>
    </row>
    <row r="123" spans="1:35" ht="89.25" x14ac:dyDescent="0.25">
      <c r="A123" s="35" t="s">
        <v>67</v>
      </c>
      <c r="B123" s="36">
        <f>E123+G123</f>
        <v>20</v>
      </c>
      <c r="C123" s="37">
        <v>97</v>
      </c>
      <c r="D123" s="39">
        <f>G123</f>
        <v>0.6</v>
      </c>
      <c r="E123" s="36">
        <f>AC123*10*F123%</f>
        <v>19.399999999999999</v>
      </c>
      <c r="F123" s="37">
        <v>97</v>
      </c>
      <c r="G123" s="36">
        <f>AC123*10*3%</f>
        <v>0.6</v>
      </c>
      <c r="H123" s="39"/>
      <c r="I123" s="34"/>
      <c r="J123" s="34"/>
      <c r="K123" s="34" t="s">
        <v>98</v>
      </c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 t="s">
        <v>96</v>
      </c>
      <c r="AB123" s="34" t="s">
        <v>173</v>
      </c>
      <c r="AC123" s="34">
        <v>2</v>
      </c>
      <c r="AD123" s="34"/>
      <c r="AE123" s="34"/>
      <c r="AF123" s="34"/>
      <c r="AG123" s="34"/>
      <c r="AH123" s="34"/>
      <c r="AI123" s="34"/>
    </row>
    <row r="124" spans="1:35" s="55" customFormat="1" ht="94.5" customHeight="1" x14ac:dyDescent="0.25">
      <c r="A124" s="35" t="s">
        <v>67</v>
      </c>
      <c r="B124" s="36">
        <f>E124+G124</f>
        <v>45.3</v>
      </c>
      <c r="C124" s="37">
        <v>97</v>
      </c>
      <c r="D124" s="36">
        <f t="shared" ref="D124:D125" si="25">G124</f>
        <v>1.3589999999999998</v>
      </c>
      <c r="E124" s="36">
        <f>W124*F124%</f>
        <v>43.940999999999995</v>
      </c>
      <c r="F124" s="37">
        <v>97</v>
      </c>
      <c r="G124" s="36">
        <f>W124*3%</f>
        <v>1.3589999999999998</v>
      </c>
      <c r="H124" s="39"/>
      <c r="I124" s="53"/>
      <c r="J124" s="53"/>
      <c r="K124" s="53" t="s">
        <v>179</v>
      </c>
      <c r="L124" s="53"/>
      <c r="M124" s="53"/>
      <c r="N124" s="53"/>
      <c r="O124" s="53"/>
      <c r="P124" s="53"/>
      <c r="Q124" s="53"/>
      <c r="R124" s="53"/>
      <c r="S124" s="54"/>
      <c r="T124" s="54"/>
      <c r="U124" s="53" t="s">
        <v>96</v>
      </c>
      <c r="V124" s="54" t="s">
        <v>180</v>
      </c>
      <c r="W124" s="54">
        <v>45.3</v>
      </c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</row>
    <row r="125" spans="1:35" s="55" customFormat="1" ht="94.5" customHeight="1" x14ac:dyDescent="0.25">
      <c r="A125" s="35" t="s">
        <v>67</v>
      </c>
      <c r="B125" s="36">
        <f>E125+G125</f>
        <v>12.5</v>
      </c>
      <c r="C125" s="37">
        <v>97</v>
      </c>
      <c r="D125" s="39">
        <f t="shared" si="25"/>
        <v>0.375</v>
      </c>
      <c r="E125" s="36">
        <f>W125*F125%</f>
        <v>12.125</v>
      </c>
      <c r="F125" s="37">
        <v>97</v>
      </c>
      <c r="G125" s="36">
        <f>W125*3%</f>
        <v>0.375</v>
      </c>
      <c r="H125" s="39"/>
      <c r="I125" s="53"/>
      <c r="J125" s="53"/>
      <c r="K125" s="53" t="s">
        <v>179</v>
      </c>
      <c r="L125" s="53"/>
      <c r="M125" s="53"/>
      <c r="N125" s="53"/>
      <c r="O125" s="53"/>
      <c r="P125" s="53"/>
      <c r="Q125" s="53"/>
      <c r="R125" s="53"/>
      <c r="S125" s="54"/>
      <c r="T125" s="54"/>
      <c r="U125" s="53" t="s">
        <v>96</v>
      </c>
      <c r="V125" s="54" t="s">
        <v>181</v>
      </c>
      <c r="W125" s="54">
        <v>12.5</v>
      </c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</row>
    <row r="126" spans="1:35" s="55" customFormat="1" ht="94.5" customHeight="1" x14ac:dyDescent="0.25">
      <c r="A126" s="35" t="s">
        <v>67</v>
      </c>
      <c r="B126" s="36">
        <v>45.8</v>
      </c>
      <c r="C126" s="37">
        <v>97</v>
      </c>
      <c r="D126" s="39">
        <f t="shared" ref="D126:D133" si="26">G126</f>
        <v>1.3739999999999999</v>
      </c>
      <c r="E126" s="36">
        <f t="shared" ref="E126:E133" si="27">W126*F126%</f>
        <v>44.425999999999995</v>
      </c>
      <c r="F126" s="37">
        <v>97</v>
      </c>
      <c r="G126" s="36">
        <f t="shared" ref="G126:G133" si="28">W126*3%</f>
        <v>1.3739999999999999</v>
      </c>
      <c r="H126" s="39"/>
      <c r="I126" s="53"/>
      <c r="J126" s="53"/>
      <c r="K126" s="53" t="s">
        <v>179</v>
      </c>
      <c r="L126" s="53"/>
      <c r="M126" s="53"/>
      <c r="N126" s="53"/>
      <c r="O126" s="53"/>
      <c r="P126" s="53"/>
      <c r="Q126" s="53"/>
      <c r="R126" s="53"/>
      <c r="S126" s="53"/>
      <c r="T126" s="53"/>
      <c r="U126" s="53" t="s">
        <v>96</v>
      </c>
      <c r="V126" s="54" t="s">
        <v>182</v>
      </c>
      <c r="W126" s="54">
        <v>45.8</v>
      </c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</row>
    <row r="127" spans="1:35" s="55" customFormat="1" ht="94.5" customHeight="1" x14ac:dyDescent="0.25">
      <c r="A127" s="35" t="s">
        <v>67</v>
      </c>
      <c r="B127" s="36">
        <v>8.1</v>
      </c>
      <c r="C127" s="37">
        <v>97</v>
      </c>
      <c r="D127" s="39">
        <f t="shared" si="26"/>
        <v>0.24299999999999999</v>
      </c>
      <c r="E127" s="36">
        <f t="shared" si="27"/>
        <v>7.8569999999999993</v>
      </c>
      <c r="F127" s="37">
        <v>97</v>
      </c>
      <c r="G127" s="36">
        <f t="shared" si="28"/>
        <v>0.24299999999999999</v>
      </c>
      <c r="H127" s="39"/>
      <c r="I127" s="53"/>
      <c r="J127" s="53"/>
      <c r="K127" s="53" t="s">
        <v>179</v>
      </c>
      <c r="L127" s="53"/>
      <c r="M127" s="53"/>
      <c r="N127" s="53"/>
      <c r="O127" s="53"/>
      <c r="P127" s="53"/>
      <c r="Q127" s="53"/>
      <c r="R127" s="53"/>
      <c r="S127" s="53"/>
      <c r="T127" s="54"/>
      <c r="U127" s="54" t="s">
        <v>96</v>
      </c>
      <c r="V127" s="54" t="s">
        <v>183</v>
      </c>
      <c r="W127" s="54">
        <v>8.1</v>
      </c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</row>
    <row r="128" spans="1:35" s="55" customFormat="1" ht="94.5" customHeight="1" x14ac:dyDescent="0.25">
      <c r="A128" s="35" t="s">
        <v>67</v>
      </c>
      <c r="B128" s="36">
        <v>53.5</v>
      </c>
      <c r="C128" s="37">
        <v>97</v>
      </c>
      <c r="D128" s="39">
        <f t="shared" si="26"/>
        <v>1.605</v>
      </c>
      <c r="E128" s="36">
        <f t="shared" si="27"/>
        <v>51.894999999999996</v>
      </c>
      <c r="F128" s="37">
        <v>97</v>
      </c>
      <c r="G128" s="36">
        <f t="shared" si="28"/>
        <v>1.605</v>
      </c>
      <c r="H128" s="39"/>
      <c r="I128" s="53"/>
      <c r="J128" s="53"/>
      <c r="K128" s="53" t="s">
        <v>179</v>
      </c>
      <c r="L128" s="53"/>
      <c r="M128" s="53"/>
      <c r="N128" s="53"/>
      <c r="O128" s="53"/>
      <c r="P128" s="53"/>
      <c r="Q128" s="53"/>
      <c r="R128" s="53"/>
      <c r="S128" s="53"/>
      <c r="T128" s="54"/>
      <c r="U128" s="54" t="s">
        <v>96</v>
      </c>
      <c r="V128" s="54" t="s">
        <v>184</v>
      </c>
      <c r="W128" s="54">
        <v>53.5</v>
      </c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</row>
    <row r="129" spans="1:35" s="55" customFormat="1" ht="94.5" customHeight="1" x14ac:dyDescent="0.25">
      <c r="A129" s="35" t="s">
        <v>67</v>
      </c>
      <c r="B129" s="36">
        <v>33.700000000000003</v>
      </c>
      <c r="C129" s="37">
        <v>97</v>
      </c>
      <c r="D129" s="39">
        <f t="shared" si="26"/>
        <v>1.0110000000000001</v>
      </c>
      <c r="E129" s="36">
        <f t="shared" si="27"/>
        <v>32.689</v>
      </c>
      <c r="F129" s="37">
        <v>97</v>
      </c>
      <c r="G129" s="36">
        <f t="shared" si="28"/>
        <v>1.0110000000000001</v>
      </c>
      <c r="H129" s="39"/>
      <c r="I129" s="53"/>
      <c r="J129" s="53"/>
      <c r="K129" s="53" t="s">
        <v>179</v>
      </c>
      <c r="L129" s="53"/>
      <c r="M129" s="53"/>
      <c r="N129" s="53"/>
      <c r="O129" s="53"/>
      <c r="P129" s="53"/>
      <c r="Q129" s="53"/>
      <c r="R129" s="53"/>
      <c r="S129" s="53"/>
      <c r="T129" s="54"/>
      <c r="U129" s="54" t="s">
        <v>96</v>
      </c>
      <c r="V129" s="54" t="s">
        <v>185</v>
      </c>
      <c r="W129" s="54">
        <v>33.700000000000003</v>
      </c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</row>
    <row r="130" spans="1:35" s="55" customFormat="1" ht="94.5" customHeight="1" x14ac:dyDescent="0.25">
      <c r="A130" s="35" t="s">
        <v>67</v>
      </c>
      <c r="B130" s="36">
        <v>39.700000000000003</v>
      </c>
      <c r="C130" s="37">
        <v>97</v>
      </c>
      <c r="D130" s="39">
        <f t="shared" si="26"/>
        <v>1.1910000000000001</v>
      </c>
      <c r="E130" s="36">
        <f t="shared" si="27"/>
        <v>38.509</v>
      </c>
      <c r="F130" s="37">
        <v>97</v>
      </c>
      <c r="G130" s="36">
        <f>W130*3%</f>
        <v>1.1910000000000001</v>
      </c>
      <c r="H130" s="39"/>
      <c r="I130" s="53"/>
      <c r="J130" s="53"/>
      <c r="K130" s="53" t="s">
        <v>179</v>
      </c>
      <c r="L130" s="53"/>
      <c r="M130" s="53"/>
      <c r="N130" s="53"/>
      <c r="O130" s="53"/>
      <c r="P130" s="53"/>
      <c r="Q130" s="53"/>
      <c r="R130" s="53"/>
      <c r="S130" s="53"/>
      <c r="T130" s="53"/>
      <c r="U130" s="54" t="s">
        <v>96</v>
      </c>
      <c r="V130" s="54" t="s">
        <v>186</v>
      </c>
      <c r="W130" s="54">
        <v>39.700000000000003</v>
      </c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</row>
    <row r="131" spans="1:35" s="55" customFormat="1" ht="94.5" customHeight="1" x14ac:dyDescent="0.25">
      <c r="A131" s="35" t="s">
        <v>67</v>
      </c>
      <c r="B131" s="36">
        <v>37.5</v>
      </c>
      <c r="C131" s="37">
        <v>97</v>
      </c>
      <c r="D131" s="39">
        <f t="shared" si="26"/>
        <v>1.125</v>
      </c>
      <c r="E131" s="36">
        <f t="shared" si="27"/>
        <v>36.375</v>
      </c>
      <c r="F131" s="37">
        <v>97</v>
      </c>
      <c r="G131" s="36">
        <f t="shared" si="28"/>
        <v>1.125</v>
      </c>
      <c r="H131" s="39"/>
      <c r="I131" s="53"/>
      <c r="J131" s="53"/>
      <c r="K131" s="53" t="s">
        <v>179</v>
      </c>
      <c r="L131" s="53"/>
      <c r="M131" s="53"/>
      <c r="N131" s="53"/>
      <c r="O131" s="53"/>
      <c r="P131" s="53"/>
      <c r="Q131" s="53"/>
      <c r="R131" s="53"/>
      <c r="S131" s="53"/>
      <c r="T131" s="53"/>
      <c r="U131" s="54" t="s">
        <v>96</v>
      </c>
      <c r="V131" s="54" t="s">
        <v>187</v>
      </c>
      <c r="W131" s="54">
        <v>37.5</v>
      </c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</row>
    <row r="132" spans="1:35" s="55" customFormat="1" ht="94.5" customHeight="1" x14ac:dyDescent="0.25">
      <c r="A132" s="35" t="s">
        <v>67</v>
      </c>
      <c r="B132" s="36">
        <v>18.399999999999999</v>
      </c>
      <c r="C132" s="37">
        <v>97</v>
      </c>
      <c r="D132" s="39">
        <f t="shared" si="26"/>
        <v>0.55199999999999994</v>
      </c>
      <c r="E132" s="36">
        <f t="shared" si="27"/>
        <v>17.847999999999999</v>
      </c>
      <c r="F132" s="37">
        <v>97</v>
      </c>
      <c r="G132" s="36">
        <f t="shared" si="28"/>
        <v>0.55199999999999994</v>
      </c>
      <c r="H132" s="39"/>
      <c r="I132" s="53"/>
      <c r="J132" s="53"/>
      <c r="K132" s="53" t="s">
        <v>179</v>
      </c>
      <c r="L132" s="53"/>
      <c r="M132" s="53"/>
      <c r="N132" s="53"/>
      <c r="O132" s="53"/>
      <c r="P132" s="53"/>
      <c r="Q132" s="53"/>
      <c r="R132" s="53"/>
      <c r="S132" s="53"/>
      <c r="T132" s="53"/>
      <c r="U132" s="54" t="s">
        <v>96</v>
      </c>
      <c r="V132" s="54" t="s">
        <v>188</v>
      </c>
      <c r="W132" s="54">
        <v>18.399999999999999</v>
      </c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</row>
    <row r="133" spans="1:35" s="55" customFormat="1" ht="94.5" customHeight="1" x14ac:dyDescent="0.25">
      <c r="A133" s="35" t="s">
        <v>67</v>
      </c>
      <c r="B133" s="36">
        <v>5.5</v>
      </c>
      <c r="C133" s="37">
        <v>97</v>
      </c>
      <c r="D133" s="39">
        <f t="shared" si="26"/>
        <v>0.16499999999999998</v>
      </c>
      <c r="E133" s="36">
        <f t="shared" si="27"/>
        <v>5.335</v>
      </c>
      <c r="F133" s="37">
        <v>97</v>
      </c>
      <c r="G133" s="36">
        <f t="shared" si="28"/>
        <v>0.16499999999999998</v>
      </c>
      <c r="H133" s="39"/>
      <c r="I133" s="53"/>
      <c r="J133" s="53"/>
      <c r="K133" s="53" t="s">
        <v>179</v>
      </c>
      <c r="L133" s="53"/>
      <c r="M133" s="53"/>
      <c r="N133" s="53"/>
      <c r="O133" s="53"/>
      <c r="P133" s="53"/>
      <c r="Q133" s="53"/>
      <c r="R133" s="53"/>
      <c r="S133" s="53"/>
      <c r="T133" s="53"/>
      <c r="U133" s="54" t="s">
        <v>96</v>
      </c>
      <c r="V133" s="54" t="s">
        <v>189</v>
      </c>
      <c r="W133" s="54">
        <v>5.5</v>
      </c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</row>
    <row r="135" spans="1:35" ht="15.75" x14ac:dyDescent="0.25">
      <c r="A135" s="42"/>
      <c r="B135" s="43"/>
      <c r="C135" s="44"/>
      <c r="D135" s="43"/>
      <c r="E135" s="47"/>
      <c r="F135" s="44"/>
      <c r="G135" s="44"/>
      <c r="H135" s="43"/>
      <c r="I135" s="44"/>
      <c r="J135" s="43"/>
      <c r="K135" s="45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5"/>
      <c r="AI135" s="44"/>
    </row>
    <row r="136" spans="1:35" ht="15.75" x14ac:dyDescent="0.25">
      <c r="A136" s="42"/>
      <c r="B136" s="44"/>
      <c r="C136" s="44"/>
      <c r="D136" s="44"/>
      <c r="E136" s="44"/>
      <c r="F136" s="44"/>
      <c r="G136" s="44"/>
      <c r="H136" s="44"/>
      <c r="I136" s="44"/>
      <c r="J136" s="44"/>
      <c r="K136" s="45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5"/>
      <c r="AI136" s="44"/>
    </row>
    <row r="137" spans="1:35" ht="18.75" x14ac:dyDescent="0.25">
      <c r="A137" s="46">
        <f>B137-C137</f>
        <v>2.1827872842550278E-11</v>
      </c>
      <c r="B137" s="47">
        <f>SUM(B7:B136)</f>
        <v>14162.899000000005</v>
      </c>
      <c r="C137" s="47">
        <f>E137+G137+J137+H137</f>
        <v>14162.898999999983</v>
      </c>
      <c r="D137" s="47">
        <f>SUM(D7:D136)</f>
        <v>424.88696999999979</v>
      </c>
      <c r="E137" s="47">
        <f>SUM(E7:E136)</f>
        <v>12709.815909999983</v>
      </c>
      <c r="F137" s="47"/>
      <c r="G137" s="47">
        <f>SUM(G7:G136)</f>
        <v>393.08708999999982</v>
      </c>
      <c r="H137" s="47">
        <f>SUM(H7:H136)</f>
        <v>1028.1961200000001</v>
      </c>
      <c r="I137" s="47"/>
      <c r="J137" s="47">
        <f>SUM(J7:J136)</f>
        <v>31.799880000000002</v>
      </c>
      <c r="K137" s="47">
        <f>SUM(K37:K136)</f>
        <v>0</v>
      </c>
      <c r="L137" s="47">
        <f>SUM(L37:L136)</f>
        <v>0</v>
      </c>
      <c r="M137" s="47">
        <f>SUM(M37:M136)</f>
        <v>0</v>
      </c>
      <c r="N137" s="47">
        <f>SUM(N37:N136)</f>
        <v>0</v>
      </c>
      <c r="O137" s="47">
        <f>SUM(O37:O136)</f>
        <v>0</v>
      </c>
      <c r="P137" s="45"/>
      <c r="Q137" s="48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5"/>
      <c r="AH137" s="44"/>
      <c r="AI137" s="44"/>
    </row>
    <row r="138" spans="1:35" x14ac:dyDescent="0.25">
      <c r="A138" s="74" t="s">
        <v>54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</row>
    <row r="139" spans="1:35" x14ac:dyDescent="0.25">
      <c r="A139" s="74" t="s">
        <v>51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</row>
  </sheetData>
  <autoFilter ref="A3:AI121">
    <filterColumn colId="11" showButton="0"/>
    <filterColumn colId="12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</autoFilter>
  <mergeCells count="23">
    <mergeCell ref="O3:AI3"/>
    <mergeCell ref="A1:AI1"/>
    <mergeCell ref="AG4:AI4"/>
    <mergeCell ref="A138:AI138"/>
    <mergeCell ref="A139:AI139"/>
    <mergeCell ref="O4:Q4"/>
    <mergeCell ref="R4:T4"/>
    <mergeCell ref="U4:W4"/>
    <mergeCell ref="X4:Z4"/>
    <mergeCell ref="AA4:AC4"/>
    <mergeCell ref="AD4:AF4"/>
    <mergeCell ref="A3:A5"/>
    <mergeCell ref="B3:B5"/>
    <mergeCell ref="E3:E5"/>
    <mergeCell ref="F3:F5"/>
    <mergeCell ref="H3:H5"/>
    <mergeCell ref="C3:C5"/>
    <mergeCell ref="I3:I5"/>
    <mergeCell ref="K3:K5"/>
    <mergeCell ref="L3:N4"/>
    <mergeCell ref="D3:D5"/>
    <mergeCell ref="G3:G5"/>
    <mergeCell ref="J3:J5"/>
  </mergeCells>
  <pageMargins left="0.23622047244094491" right="0.23622047244094491" top="0.74803149606299213" bottom="0.74803149606299213" header="0.31496062992125984" footer="0.31496062992125984"/>
  <pageSetup paperSize="8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view="pageBreakPreview" zoomScale="57" zoomScaleNormal="90" zoomScaleSheetLayoutView="57" workbookViewId="0">
      <selection activeCell="I6" sqref="I6:I11"/>
    </sheetView>
  </sheetViews>
  <sheetFormatPr defaultRowHeight="15" x14ac:dyDescent="0.25"/>
  <cols>
    <col min="1" max="1" width="15.5703125" style="2" customWidth="1"/>
    <col min="2" max="2" width="21.28515625" style="2" customWidth="1"/>
    <col min="3" max="3" width="20.85546875" style="2" customWidth="1"/>
    <col min="4" max="4" width="23.85546875" style="2" customWidth="1"/>
    <col min="5" max="5" width="19.5703125" style="2" customWidth="1"/>
    <col min="6" max="7" width="19" style="2" customWidth="1"/>
    <col min="8" max="9" width="16.5703125" style="2" customWidth="1"/>
    <col min="10" max="10" width="15.42578125" style="2" customWidth="1"/>
    <col min="11" max="11" width="15.85546875" style="2" customWidth="1"/>
    <col min="12" max="12" width="14" style="2" customWidth="1"/>
    <col min="13" max="13" width="19.85546875" style="2" customWidth="1"/>
  </cols>
  <sheetData>
    <row r="1" spans="1:13" ht="66" customHeight="1" x14ac:dyDescent="0.25">
      <c r="A1" s="93" t="s">
        <v>35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46.5" customHeight="1" x14ac:dyDescent="0.25">
      <c r="A2" s="97" t="s">
        <v>0</v>
      </c>
      <c r="B2" s="89" t="s">
        <v>78</v>
      </c>
      <c r="C2" s="89" t="s">
        <v>79</v>
      </c>
      <c r="D2" s="89" t="s">
        <v>80</v>
      </c>
      <c r="E2" s="89" t="s">
        <v>84</v>
      </c>
      <c r="F2" s="89" t="s">
        <v>85</v>
      </c>
      <c r="G2" s="89" t="s">
        <v>86</v>
      </c>
      <c r="H2" s="63" t="s">
        <v>48</v>
      </c>
      <c r="I2" s="63"/>
      <c r="J2" s="94"/>
      <c r="K2" s="94"/>
      <c r="L2" s="94"/>
      <c r="M2" s="94"/>
    </row>
    <row r="3" spans="1:13" ht="158.25" customHeight="1" x14ac:dyDescent="0.25">
      <c r="A3" s="98"/>
      <c r="B3" s="90"/>
      <c r="C3" s="90"/>
      <c r="D3" s="90"/>
      <c r="E3" s="90"/>
      <c r="F3" s="90"/>
      <c r="G3" s="90"/>
      <c r="H3" s="63" t="s">
        <v>36</v>
      </c>
      <c r="I3" s="63" t="s">
        <v>49</v>
      </c>
      <c r="J3" s="63" t="s">
        <v>17</v>
      </c>
      <c r="K3" s="63" t="s">
        <v>45</v>
      </c>
      <c r="L3" s="63" t="s">
        <v>16</v>
      </c>
      <c r="M3" s="63" t="s">
        <v>47</v>
      </c>
    </row>
    <row r="4" spans="1:13" ht="191.25" customHeight="1" x14ac:dyDescent="0.25">
      <c r="A4" s="88"/>
      <c r="B4" s="91"/>
      <c r="C4" s="91"/>
      <c r="D4" s="91"/>
      <c r="E4" s="91"/>
      <c r="F4" s="91"/>
      <c r="G4" s="91"/>
      <c r="H4" s="92"/>
      <c r="I4" s="92"/>
      <c r="J4" s="92"/>
      <c r="K4" s="92"/>
      <c r="L4" s="92"/>
      <c r="M4" s="92"/>
    </row>
    <row r="5" spans="1:13" ht="22.5" customHeight="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</row>
    <row r="6" spans="1:13" ht="32.25" customHeight="1" x14ac:dyDescent="0.25">
      <c r="A6" s="83" t="s">
        <v>67</v>
      </c>
      <c r="B6" s="83">
        <f>E6+G6</f>
        <v>200</v>
      </c>
      <c r="C6" s="83">
        <v>3</v>
      </c>
      <c r="D6" s="83">
        <f>G6</f>
        <v>6</v>
      </c>
      <c r="E6" s="83">
        <f>K10*M10*F6%</f>
        <v>194</v>
      </c>
      <c r="F6" s="83">
        <v>97</v>
      </c>
      <c r="G6" s="83">
        <f>K10*M10*3%</f>
        <v>6</v>
      </c>
      <c r="H6" s="83" t="s">
        <v>147</v>
      </c>
      <c r="I6" s="86" t="s">
        <v>148</v>
      </c>
      <c r="J6" s="12" t="s">
        <v>70</v>
      </c>
      <c r="K6" s="12"/>
      <c r="L6" s="12"/>
      <c r="M6" s="12"/>
    </row>
    <row r="7" spans="1:13" ht="32.25" customHeight="1" x14ac:dyDescent="0.25">
      <c r="A7" s="84"/>
      <c r="B7" s="84"/>
      <c r="C7" s="84"/>
      <c r="D7" s="84"/>
      <c r="E7" s="84"/>
      <c r="F7" s="84"/>
      <c r="G7" s="84"/>
      <c r="H7" s="84"/>
      <c r="I7" s="87"/>
      <c r="J7" s="12" t="s">
        <v>71</v>
      </c>
      <c r="K7" s="12"/>
      <c r="L7" s="12"/>
      <c r="M7" s="12"/>
    </row>
    <row r="8" spans="1:13" ht="32.25" customHeight="1" x14ac:dyDescent="0.25">
      <c r="A8" s="84"/>
      <c r="B8" s="84"/>
      <c r="C8" s="84"/>
      <c r="D8" s="84"/>
      <c r="E8" s="84"/>
      <c r="F8" s="84"/>
      <c r="G8" s="84"/>
      <c r="H8" s="84"/>
      <c r="I8" s="87"/>
      <c r="J8" s="12" t="s">
        <v>72</v>
      </c>
      <c r="K8" s="12"/>
      <c r="L8" s="12"/>
      <c r="M8" s="12"/>
    </row>
    <row r="9" spans="1:13" ht="32.25" customHeight="1" x14ac:dyDescent="0.25">
      <c r="A9" s="84"/>
      <c r="B9" s="84"/>
      <c r="C9" s="84"/>
      <c r="D9" s="84"/>
      <c r="E9" s="84"/>
      <c r="F9" s="84"/>
      <c r="G9" s="84"/>
      <c r="H9" s="84"/>
      <c r="I9" s="87"/>
      <c r="J9" s="12" t="s">
        <v>68</v>
      </c>
      <c r="K9" s="12"/>
      <c r="L9" s="12"/>
      <c r="M9" s="12"/>
    </row>
    <row r="10" spans="1:13" ht="32.25" customHeight="1" x14ac:dyDescent="0.25">
      <c r="A10" s="84"/>
      <c r="B10" s="84"/>
      <c r="C10" s="84"/>
      <c r="D10" s="84"/>
      <c r="E10" s="84"/>
      <c r="F10" s="84"/>
      <c r="G10" s="84"/>
      <c r="H10" s="84"/>
      <c r="I10" s="87"/>
      <c r="J10" s="12" t="s">
        <v>69</v>
      </c>
      <c r="K10" s="12">
        <v>8</v>
      </c>
      <c r="L10" s="12">
        <v>72</v>
      </c>
      <c r="M10" s="12">
        <v>25</v>
      </c>
    </row>
    <row r="11" spans="1:13" ht="32.25" customHeight="1" x14ac:dyDescent="0.25">
      <c r="A11" s="85"/>
      <c r="B11" s="85"/>
      <c r="C11" s="85"/>
      <c r="D11" s="85"/>
      <c r="E11" s="85"/>
      <c r="F11" s="85"/>
      <c r="G11" s="85"/>
      <c r="H11" s="85"/>
      <c r="I11" s="88"/>
      <c r="J11" s="12" t="s">
        <v>73</v>
      </c>
      <c r="K11" s="12"/>
      <c r="L11" s="12"/>
      <c r="M11" s="12"/>
    </row>
    <row r="12" spans="1:13" ht="39" customHeight="1" x14ac:dyDescent="0.25">
      <c r="A12" s="95" t="s">
        <v>61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3" ht="21.75" customHeight="1" x14ac:dyDescent="0.25">
      <c r="A13" s="56" t="s">
        <v>18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</sheetData>
  <mergeCells count="26">
    <mergeCell ref="K3:K4"/>
    <mergeCell ref="L3:L4"/>
    <mergeCell ref="M3:M4"/>
    <mergeCell ref="A13:M13"/>
    <mergeCell ref="A1:M1"/>
    <mergeCell ref="H2:M2"/>
    <mergeCell ref="A12:M12"/>
    <mergeCell ref="A2:A4"/>
    <mergeCell ref="B2:B4"/>
    <mergeCell ref="E2:E4"/>
    <mergeCell ref="F2:F4"/>
    <mergeCell ref="H3:H4"/>
    <mergeCell ref="I3:I4"/>
    <mergeCell ref="J3:J4"/>
    <mergeCell ref="C2:C4"/>
    <mergeCell ref="D2:D4"/>
    <mergeCell ref="G2:G4"/>
    <mergeCell ref="A6:A11"/>
    <mergeCell ref="B6:B11"/>
    <mergeCell ref="C6:C11"/>
    <mergeCell ref="D6:D11"/>
    <mergeCell ref="H6:H11"/>
    <mergeCell ref="I6:I11"/>
    <mergeCell ref="G6:G11"/>
    <mergeCell ref="F6:F11"/>
    <mergeCell ref="E6:E11"/>
  </mergeCells>
  <pageMargins left="0.70866141732283472" right="0.70866141732283472" top="0.35433070866141736" bottom="0.35433070866141736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="41" zoomScaleSheetLayoutView="41" workbookViewId="0">
      <selection activeCell="I6" sqref="I6"/>
    </sheetView>
  </sheetViews>
  <sheetFormatPr defaultRowHeight="15" x14ac:dyDescent="0.25"/>
  <cols>
    <col min="1" max="1" width="17.7109375" style="2" customWidth="1"/>
    <col min="2" max="2" width="20.140625" style="2" customWidth="1"/>
    <col min="3" max="3" width="20.5703125" style="2" customWidth="1"/>
    <col min="4" max="4" width="23.7109375" style="2" customWidth="1"/>
    <col min="5" max="5" width="21.28515625" style="2" customWidth="1"/>
    <col min="6" max="7" width="20.7109375" style="2" customWidth="1"/>
    <col min="8" max="8" width="17.85546875" style="2" customWidth="1"/>
    <col min="9" max="9" width="16.28515625" style="2" customWidth="1"/>
    <col min="10" max="10" width="18.7109375" style="2" customWidth="1"/>
    <col min="11" max="11" width="21" style="2" customWidth="1"/>
    <col min="12" max="12" width="20.7109375" style="2" customWidth="1"/>
  </cols>
  <sheetData>
    <row r="1" spans="1:12" ht="111" customHeight="1" x14ac:dyDescent="0.25">
      <c r="A1" s="93" t="s">
        <v>50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61.5" customHeight="1" x14ac:dyDescent="0.25">
      <c r="A2" s="97" t="s">
        <v>0</v>
      </c>
      <c r="B2" s="89" t="s">
        <v>78</v>
      </c>
      <c r="C2" s="89" t="s">
        <v>79</v>
      </c>
      <c r="D2" s="89" t="s">
        <v>80</v>
      </c>
      <c r="E2" s="89" t="s">
        <v>81</v>
      </c>
      <c r="F2" s="89" t="s">
        <v>82</v>
      </c>
      <c r="G2" s="89" t="s">
        <v>83</v>
      </c>
      <c r="H2" s="63" t="s">
        <v>56</v>
      </c>
      <c r="I2" s="94"/>
      <c r="J2" s="94"/>
      <c r="K2" s="94"/>
      <c r="L2" s="94"/>
    </row>
    <row r="3" spans="1:12" ht="177" customHeight="1" x14ac:dyDescent="0.25">
      <c r="A3" s="98"/>
      <c r="B3" s="90"/>
      <c r="C3" s="90"/>
      <c r="D3" s="90"/>
      <c r="E3" s="90"/>
      <c r="F3" s="90"/>
      <c r="G3" s="90"/>
      <c r="H3" s="63" t="s">
        <v>21</v>
      </c>
      <c r="I3" s="63" t="s">
        <v>19</v>
      </c>
      <c r="J3" s="63" t="s">
        <v>20</v>
      </c>
      <c r="K3" s="63" t="s">
        <v>59</v>
      </c>
      <c r="L3" s="99"/>
    </row>
    <row r="4" spans="1:12" ht="105" customHeight="1" x14ac:dyDescent="0.25">
      <c r="A4" s="88"/>
      <c r="B4" s="91"/>
      <c r="C4" s="91"/>
      <c r="D4" s="91"/>
      <c r="E4" s="91"/>
      <c r="F4" s="91"/>
      <c r="G4" s="91"/>
      <c r="H4" s="92"/>
      <c r="I4" s="92"/>
      <c r="J4" s="92"/>
      <c r="K4" s="20" t="s">
        <v>58</v>
      </c>
      <c r="L4" s="20" t="s">
        <v>57</v>
      </c>
    </row>
    <row r="5" spans="1:12" ht="22.5" customHeight="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</row>
    <row r="6" spans="1:12" s="25" customFormat="1" ht="409.5" customHeight="1" x14ac:dyDescent="0.25">
      <c r="A6" s="24" t="s">
        <v>67</v>
      </c>
      <c r="B6" s="24">
        <f>K6</f>
        <v>2500</v>
      </c>
      <c r="C6" s="24">
        <v>3</v>
      </c>
      <c r="D6" s="24">
        <f>G6</f>
        <v>75</v>
      </c>
      <c r="E6" s="24">
        <f>L6</f>
        <v>2425</v>
      </c>
      <c r="F6" s="24">
        <v>97</v>
      </c>
      <c r="G6" s="24">
        <f>K6*3%</f>
        <v>75</v>
      </c>
      <c r="H6" s="33" t="s">
        <v>163</v>
      </c>
      <c r="I6" s="24" t="s">
        <v>161</v>
      </c>
      <c r="J6" s="24" t="s">
        <v>162</v>
      </c>
      <c r="K6" s="24">
        <v>2500</v>
      </c>
      <c r="L6" s="24">
        <f>K6*97%</f>
        <v>2425</v>
      </c>
    </row>
    <row r="7" spans="1:12" s="25" customFormat="1" ht="409.5" customHeight="1" x14ac:dyDescent="0.25">
      <c r="A7" s="24" t="s">
        <v>67</v>
      </c>
      <c r="B7" s="24">
        <f>K7</f>
        <v>2500</v>
      </c>
      <c r="C7" s="24">
        <v>3</v>
      </c>
      <c r="D7" s="24">
        <f>G7</f>
        <v>75</v>
      </c>
      <c r="E7" s="24">
        <f t="shared" ref="E7:E9" si="0">L7</f>
        <v>2425</v>
      </c>
      <c r="F7" s="24">
        <v>97</v>
      </c>
      <c r="G7" s="24">
        <f>K7*3%</f>
        <v>75</v>
      </c>
      <c r="H7" s="33" t="s">
        <v>163</v>
      </c>
      <c r="I7" s="24" t="s">
        <v>164</v>
      </c>
      <c r="J7" s="24" t="s">
        <v>72</v>
      </c>
      <c r="K7" s="24">
        <v>2500</v>
      </c>
      <c r="L7" s="24">
        <f>K7*97%</f>
        <v>2425</v>
      </c>
    </row>
    <row r="8" spans="1:12" s="25" customFormat="1" ht="409.5" customHeight="1" x14ac:dyDescent="0.25">
      <c r="A8" s="24" t="s">
        <v>67</v>
      </c>
      <c r="B8" s="24">
        <f>K8</f>
        <v>2500</v>
      </c>
      <c r="C8" s="24">
        <v>3</v>
      </c>
      <c r="D8" s="24">
        <f>G8</f>
        <v>75</v>
      </c>
      <c r="E8" s="24">
        <f t="shared" si="0"/>
        <v>2425</v>
      </c>
      <c r="F8" s="24">
        <v>97</v>
      </c>
      <c r="G8" s="24">
        <f>K8*3%</f>
        <v>75</v>
      </c>
      <c r="H8" s="33" t="s">
        <v>163</v>
      </c>
      <c r="I8" s="24" t="s">
        <v>165</v>
      </c>
      <c r="J8" s="24" t="s">
        <v>71</v>
      </c>
      <c r="K8" s="24">
        <v>2500</v>
      </c>
      <c r="L8" s="24">
        <f>K8*97%</f>
        <v>2425</v>
      </c>
    </row>
    <row r="9" spans="1:12" s="25" customFormat="1" ht="409.5" customHeight="1" x14ac:dyDescent="0.25">
      <c r="A9" s="24" t="s">
        <v>67</v>
      </c>
      <c r="B9" s="24">
        <f>K9</f>
        <v>100</v>
      </c>
      <c r="C9" s="24">
        <v>3</v>
      </c>
      <c r="D9" s="24">
        <f>G9</f>
        <v>3</v>
      </c>
      <c r="E9" s="24">
        <f t="shared" si="0"/>
        <v>97</v>
      </c>
      <c r="F9" s="24">
        <v>97</v>
      </c>
      <c r="G9" s="24">
        <f>K9*3%</f>
        <v>3</v>
      </c>
      <c r="H9" s="33" t="s">
        <v>163</v>
      </c>
      <c r="I9" s="24" t="s">
        <v>166</v>
      </c>
      <c r="J9" s="24" t="s">
        <v>167</v>
      </c>
      <c r="K9" s="24">
        <v>100</v>
      </c>
      <c r="L9" s="24">
        <f>K9*97%</f>
        <v>97</v>
      </c>
    </row>
    <row r="10" spans="1:12" s="25" customFormat="1" ht="42" customHeight="1" x14ac:dyDescent="0.25">
      <c r="A10" s="24"/>
      <c r="B10" s="24">
        <f>SUM(B6:B9)</f>
        <v>7600</v>
      </c>
      <c r="C10" s="24"/>
      <c r="D10" s="24">
        <f t="shared" ref="D10:L10" si="1">SUM(D6:D9)</f>
        <v>228</v>
      </c>
      <c r="E10" s="24">
        <f t="shared" si="1"/>
        <v>7372</v>
      </c>
      <c r="F10" s="24"/>
      <c r="G10" s="24">
        <f t="shared" si="1"/>
        <v>228</v>
      </c>
      <c r="H10" s="24"/>
      <c r="I10" s="24">
        <f t="shared" si="1"/>
        <v>0</v>
      </c>
      <c r="J10" s="24">
        <f t="shared" si="1"/>
        <v>0</v>
      </c>
      <c r="K10" s="24">
        <f t="shared" si="1"/>
        <v>7600</v>
      </c>
      <c r="L10" s="24">
        <f t="shared" si="1"/>
        <v>7372</v>
      </c>
    </row>
    <row r="11" spans="1:12" ht="77.25" customHeight="1" x14ac:dyDescent="0.25">
      <c r="A11" s="100" t="s">
        <v>55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:1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</sheetData>
  <mergeCells count="14">
    <mergeCell ref="K3:L3"/>
    <mergeCell ref="A11:L11"/>
    <mergeCell ref="H2:L2"/>
    <mergeCell ref="A1:L1"/>
    <mergeCell ref="A2:A4"/>
    <mergeCell ref="B2:B4"/>
    <mergeCell ref="E2:E4"/>
    <mergeCell ref="F2:F4"/>
    <mergeCell ref="H3:H4"/>
    <mergeCell ref="I3:I4"/>
    <mergeCell ref="J3:J4"/>
    <mergeCell ref="C2:C4"/>
    <mergeCell ref="D2:D4"/>
    <mergeCell ref="G2:G4"/>
  </mergeCells>
  <pageMargins left="0.51181102362204722" right="0.51181102362204722" top="0.35433070866141736" bottom="0.35433070866141736" header="0.31496062992125984" footer="0.31496062992125984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"/>
  <sheetViews>
    <sheetView view="pageBreakPreview" zoomScale="57" zoomScaleSheetLayoutView="57" workbookViewId="0">
      <selection activeCell="L3" sqref="L3"/>
    </sheetView>
  </sheetViews>
  <sheetFormatPr defaultRowHeight="15" x14ac:dyDescent="0.25"/>
  <cols>
    <col min="1" max="1" width="12.7109375" customWidth="1"/>
    <col min="2" max="2" width="21.42578125" customWidth="1"/>
    <col min="3" max="4" width="19.28515625" customWidth="1"/>
    <col min="5" max="5" width="10.28515625" customWidth="1"/>
    <col min="6" max="6" width="15.42578125" customWidth="1"/>
    <col min="7" max="7" width="14.42578125" customWidth="1"/>
    <col min="8" max="9" width="13" customWidth="1"/>
    <col min="10" max="10" width="23.140625" customWidth="1"/>
    <col min="11" max="12" width="14.5703125" customWidth="1"/>
    <col min="13" max="13" width="13.5703125" customWidth="1"/>
    <col min="14" max="14" width="12.5703125" customWidth="1"/>
    <col min="15" max="15" width="10.28515625" customWidth="1"/>
    <col min="16" max="16" width="14.42578125" customWidth="1"/>
    <col min="17" max="17" width="15.28515625" customWidth="1"/>
    <col min="18" max="18" width="12.7109375" customWidth="1"/>
    <col min="19" max="19" width="13.28515625" customWidth="1"/>
    <col min="20" max="23" width="14.140625" customWidth="1"/>
    <col min="24" max="24" width="13" customWidth="1"/>
    <col min="25" max="25" width="15.85546875" customWidth="1"/>
    <col min="26" max="26" width="15.28515625" customWidth="1"/>
    <col min="27" max="27" width="17.28515625" customWidth="1"/>
    <col min="28" max="28" width="13.42578125" customWidth="1"/>
    <col min="29" max="29" width="12.85546875" customWidth="1"/>
  </cols>
  <sheetData>
    <row r="1" spans="1:54" ht="59.25" customHeight="1" x14ac:dyDescent="0.25">
      <c r="A1" s="62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103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4"/>
      <c r="BA1" s="14"/>
      <c r="BB1" s="14"/>
    </row>
    <row r="2" spans="1:54" ht="108.75" customHeight="1" x14ac:dyDescent="0.25">
      <c r="A2" s="102" t="s">
        <v>0</v>
      </c>
      <c r="B2" s="104" t="s">
        <v>78</v>
      </c>
      <c r="C2" s="104" t="s">
        <v>79</v>
      </c>
      <c r="D2" s="104" t="s">
        <v>80</v>
      </c>
      <c r="E2" s="104" t="s">
        <v>74</v>
      </c>
      <c r="F2" s="106"/>
      <c r="G2" s="106"/>
      <c r="H2" s="106"/>
      <c r="I2" s="106"/>
      <c r="J2" s="104" t="s">
        <v>75</v>
      </c>
      <c r="K2" s="104"/>
      <c r="L2" s="104"/>
      <c r="M2" s="104"/>
      <c r="N2" s="106"/>
      <c r="O2" s="104" t="s">
        <v>76</v>
      </c>
      <c r="P2" s="104"/>
      <c r="Q2" s="104"/>
      <c r="R2" s="104"/>
      <c r="S2" s="107"/>
      <c r="T2" s="102" t="s">
        <v>168</v>
      </c>
      <c r="U2" s="102"/>
      <c r="V2" s="102"/>
      <c r="W2" s="102"/>
      <c r="X2" s="102"/>
      <c r="Y2" s="102" t="s">
        <v>77</v>
      </c>
      <c r="Z2" s="102"/>
      <c r="AA2" s="102"/>
      <c r="AB2" s="102"/>
      <c r="AC2" s="106"/>
    </row>
    <row r="3" spans="1:54" ht="378" customHeight="1" x14ac:dyDescent="0.25">
      <c r="A3" s="64"/>
      <c r="B3" s="105"/>
      <c r="C3" s="104"/>
      <c r="D3" s="92"/>
      <c r="E3" s="21" t="s">
        <v>62</v>
      </c>
      <c r="F3" s="21" t="s">
        <v>65</v>
      </c>
      <c r="G3" s="22" t="s">
        <v>66</v>
      </c>
      <c r="H3" s="21" t="s">
        <v>37</v>
      </c>
      <c r="I3" s="22" t="s">
        <v>63</v>
      </c>
      <c r="J3" s="21" t="s">
        <v>39</v>
      </c>
      <c r="K3" s="21" t="s">
        <v>38</v>
      </c>
      <c r="L3" s="22" t="s">
        <v>66</v>
      </c>
      <c r="M3" s="21" t="s">
        <v>37</v>
      </c>
      <c r="N3" s="22" t="s">
        <v>63</v>
      </c>
      <c r="O3" s="21" t="s">
        <v>39</v>
      </c>
      <c r="P3" s="21" t="s">
        <v>38</v>
      </c>
      <c r="Q3" s="22" t="s">
        <v>66</v>
      </c>
      <c r="R3" s="21" t="s">
        <v>37</v>
      </c>
      <c r="S3" s="21" t="s">
        <v>40</v>
      </c>
      <c r="T3" s="21" t="s">
        <v>39</v>
      </c>
      <c r="U3" s="21" t="s">
        <v>38</v>
      </c>
      <c r="V3" s="22" t="s">
        <v>66</v>
      </c>
      <c r="W3" s="21" t="s">
        <v>37</v>
      </c>
      <c r="X3" s="22" t="s">
        <v>63</v>
      </c>
      <c r="Y3" s="21" t="s">
        <v>39</v>
      </c>
      <c r="Z3" s="21" t="s">
        <v>38</v>
      </c>
      <c r="AA3" s="22" t="s">
        <v>66</v>
      </c>
      <c r="AB3" s="21" t="s">
        <v>37</v>
      </c>
      <c r="AC3" s="22" t="s">
        <v>63</v>
      </c>
    </row>
    <row r="4" spans="1:54" ht="15.75" x14ac:dyDescent="0.2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>
        <v>16</v>
      </c>
      <c r="Q4" s="12">
        <v>17</v>
      </c>
      <c r="R4" s="12">
        <v>18</v>
      </c>
      <c r="S4" s="12">
        <v>19</v>
      </c>
      <c r="T4" s="12">
        <v>20</v>
      </c>
      <c r="U4" s="12">
        <v>21</v>
      </c>
      <c r="V4" s="12">
        <v>22</v>
      </c>
      <c r="W4" s="12">
        <v>23</v>
      </c>
      <c r="X4" s="12">
        <v>24</v>
      </c>
      <c r="Y4" s="12">
        <v>25</v>
      </c>
      <c r="Z4" s="12">
        <v>26</v>
      </c>
      <c r="AA4" s="12">
        <v>27</v>
      </c>
      <c r="AB4" s="12">
        <v>28</v>
      </c>
      <c r="AC4" s="12">
        <v>29</v>
      </c>
    </row>
    <row r="5" spans="1:54" ht="34.5" customHeight="1" x14ac:dyDescent="0.25">
      <c r="A5" s="102" t="s">
        <v>67</v>
      </c>
      <c r="B5" s="31">
        <f>F5+K5+P5+U5+Z5</f>
        <v>21304.012029999983</v>
      </c>
      <c r="C5" s="19">
        <f>B5/(B5+D5)*100</f>
        <v>97</v>
      </c>
      <c r="D5" s="31">
        <f>H5+M5+R5+W5+AB5</f>
        <v>658.88696999999979</v>
      </c>
      <c r="E5" s="28">
        <f>F5+H5</f>
        <v>0</v>
      </c>
      <c r="F5" s="19">
        <v>0</v>
      </c>
      <c r="G5" s="23">
        <v>0</v>
      </c>
      <c r="H5" s="19">
        <v>0</v>
      </c>
      <c r="I5" s="23">
        <v>0</v>
      </c>
      <c r="J5" s="28">
        <f>K5+M5</f>
        <v>13102.902999999982</v>
      </c>
      <c r="K5" s="19">
        <f>'Реаб оборудование+оргтехника '!E137</f>
        <v>12709.815909999983</v>
      </c>
      <c r="L5" s="32">
        <f>K5/J5*100</f>
        <v>97.000000000000014</v>
      </c>
      <c r="M5" s="19">
        <f>'Реаб оборудование+оргтехника '!G137</f>
        <v>393.08708999999982</v>
      </c>
      <c r="N5" s="19">
        <f>+M5/J5*100</f>
        <v>3.0000000000000027</v>
      </c>
      <c r="O5" s="31">
        <f>P5+R5</f>
        <v>1059.9960000000001</v>
      </c>
      <c r="P5" s="19">
        <f>'Реаб оборудование+оргтехника '!H137</f>
        <v>1028.1961200000001</v>
      </c>
      <c r="Q5" s="19">
        <f>P5/O5*100</f>
        <v>97</v>
      </c>
      <c r="R5" s="19">
        <f>'Реаб оборудование+оргтехника '!J137</f>
        <v>31.799880000000002</v>
      </c>
      <c r="S5" s="19">
        <f>R5/O5*100</f>
        <v>3</v>
      </c>
      <c r="T5" s="28">
        <f>U5+W5</f>
        <v>200</v>
      </c>
      <c r="U5" s="19">
        <v>194</v>
      </c>
      <c r="V5" s="19">
        <f>U5/T5*100</f>
        <v>97</v>
      </c>
      <c r="W5" s="19">
        <v>6</v>
      </c>
      <c r="X5" s="19">
        <f>W5/T5*100</f>
        <v>3</v>
      </c>
      <c r="Y5" s="28">
        <f>Z5+AB5</f>
        <v>7600</v>
      </c>
      <c r="Z5" s="19">
        <f>Информатизация!E10</f>
        <v>7372</v>
      </c>
      <c r="AA5" s="29">
        <f>Z5/Y5*100</f>
        <v>97</v>
      </c>
      <c r="AB5" s="19">
        <f>Информатизация!G10</f>
        <v>228</v>
      </c>
      <c r="AC5" s="30">
        <f>AB5/Y5*100</f>
        <v>3</v>
      </c>
    </row>
    <row r="6" spans="1:54" x14ac:dyDescent="0.25">
      <c r="A6" s="64"/>
    </row>
  </sheetData>
  <mergeCells count="11">
    <mergeCell ref="A5:A6"/>
    <mergeCell ref="A1:AC1"/>
    <mergeCell ref="A2:A3"/>
    <mergeCell ref="B2:B3"/>
    <mergeCell ref="T2:X2"/>
    <mergeCell ref="Y2:AC2"/>
    <mergeCell ref="E2:I2"/>
    <mergeCell ref="J2:N2"/>
    <mergeCell ref="O2:S2"/>
    <mergeCell ref="C2:C3"/>
    <mergeCell ref="D2:D3"/>
  </mergeCells>
  <pageMargins left="0.31496062992125984" right="0.31496062992125984" top="0.55118110236220474" bottom="0.55118110236220474" header="0.31496062992125984" footer="0.31496062992125984"/>
  <pageSetup paperSize="8" scale="93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Лист1</vt:lpstr>
      <vt:lpstr>Медицинское оборудование</vt:lpstr>
      <vt:lpstr>Реаб оборудование+оргтехника </vt:lpstr>
      <vt:lpstr>Обучение специалистов</vt:lpstr>
      <vt:lpstr>Информатизация</vt:lpstr>
      <vt:lpstr>Таблица деньги все</vt:lpstr>
      <vt:lpstr>Информатизация!Область_печати</vt:lpstr>
      <vt:lpstr>'Медицинское оборудование'!Область_печати</vt:lpstr>
      <vt:lpstr>'Обучение специалистов'!Область_печати</vt:lpstr>
      <vt:lpstr>'Таблица деньги все'!Область_печати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2020-04-30T08:55:24Z</dcterms:modified>
</cp:coreProperties>
</file>